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omments2.xml" ContentType="application/vnd.openxmlformats-officedocument.spreadsheetml.comments+xml"/>
  <Override PartName="/xl/drawings/drawing7.xml" ContentType="application/vnd.openxmlformats-officedocument.drawing+xml"/>
  <Override PartName="/xl/drawings/drawing8.xml" ContentType="application/vnd.openxmlformats-officedocument.drawing+xml"/>
  <Override PartName="/xl/comments3.xml" ContentType="application/vnd.openxmlformats-officedocument.spreadsheetml.comments+xml"/>
  <Override PartName="/xl/drawings/drawing9.xml" ContentType="application/vnd.openxmlformats-officedocument.drawing+xml"/>
  <Override PartName="/xl/drawings/drawing10.xml" ContentType="application/vnd.openxmlformats-officedocument.drawing+xml"/>
  <Override PartName="/xl/tables/table4.xml" ContentType="application/vnd.openxmlformats-officedocument.spreadsheetml.table+xml"/>
  <Override PartName="/xl/drawings/drawing11.xml" ContentType="application/vnd.openxmlformats-officedocument.drawing+xml"/>
  <Override PartName="/xl/comments4.xml" ContentType="application/vnd.openxmlformats-officedocument.spreadsheetml.comments+xml"/>
  <Override PartName="/xl/drawings/drawing12.xml" ContentType="application/vnd.openxmlformats-officedocument.drawing+xml"/>
  <Override PartName="/xl/comments5.xml" ContentType="application/vnd.openxmlformats-officedocument.spreadsheetml.comments+xml"/>
  <Override PartName="/xl/drawings/drawing13.xml" ContentType="application/vnd.openxmlformats-officedocument.drawing+xml"/>
  <Override PartName="/xl/drawings/drawing14.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comments6.xml" ContentType="application/vnd.openxmlformats-officedocument.spreadsheetml.comments+xml"/>
  <Override PartName="/xl/drawings/drawing15.xml" ContentType="application/vnd.openxmlformats-officedocument.drawing+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always" codeName="ThisWorkbook" defaultThemeVersion="153222"/>
  <mc:AlternateContent xmlns:mc="http://schemas.openxmlformats.org/markup-compatibility/2006">
    <mc:Choice Requires="x15">
      <x15ac:absPath xmlns:x15ac="http://schemas.microsoft.com/office/spreadsheetml/2010/11/ac" url="C:\Users\contrabog\Documents\Matrices Auditoria Financiera de gestion y resultados\Instrumentos\Instrumentos con Claves de accesos v2\"/>
    </mc:Choice>
  </mc:AlternateContent>
  <bookViews>
    <workbookView xWindow="0" yWindow="0" windowWidth="28800" windowHeight="12435" tabRatio="740" firstSheet="2" activeTab="2"/>
  </bookViews>
  <sheets>
    <sheet name="LISTAS" sheetId="6" state="hidden" r:id="rId1"/>
    <sheet name="FENECIMIENTO CUENTA" sheetId="23" state="hidden" r:id="rId2"/>
    <sheet name="FENECIMIENTO" sheetId="24" r:id="rId3"/>
    <sheet name="ANALÍTICA ESTADO SITUACIÓN F" sheetId="7" r:id="rId4"/>
    <sheet name="ANALÍTICA ESTADO DE RESULTAD" sheetId="8" r:id="rId5"/>
    <sheet name="MATERIALIDAD FINANCIERA" sheetId="9" r:id="rId6"/>
    <sheet name="HALLAZGOS OPINIÓN_FIN" sheetId="12" r:id="rId7"/>
    <sheet name="DESEMPEÑO FINANCIERO" sheetId="13" r:id="rId8"/>
    <sheet name="ANALÍTICA PRESUPUESTAL" sheetId="19" r:id="rId9"/>
    <sheet name="MATERIALIDAD PRESUPUESTAL" sheetId="10" r:id="rId10"/>
    <sheet name="HALLAZGOS CONCEPTO_PRES" sheetId="14" r:id="rId11"/>
    <sheet name="LISTAS PPTO" sheetId="15" state="hidden" r:id="rId12"/>
    <sheet name="PLANES Y PROYECTOS" sheetId="11" r:id="rId13"/>
    <sheet name="PLAN ESTRATÉGICO" sheetId="17" r:id="rId14"/>
    <sheet name="ANALÍTICAS GASTO PÚBLICO" sheetId="5" r:id="rId15"/>
    <sheet name="MATERIALIDAD GASTO PÚBLICO" sheetId="3" r:id="rId16"/>
    <sheet name="CALIFICACIÓN GASTO PÚBLICO" sheetId="26" r:id="rId17"/>
    <sheet name="Lista consolidado macro" sheetId="20" state="hidden" r:id="rId18"/>
  </sheets>
  <externalReferences>
    <externalReference r:id="rId19"/>
    <externalReference r:id="rId20"/>
    <externalReference r:id="rId21"/>
    <externalReference r:id="rId22"/>
    <externalReference r:id="rId23"/>
  </externalReferences>
  <definedNames>
    <definedName name="_ECONOMIA_CONTRATACION">'CALIFICACIÓN GASTO PÚBLICO'!$CZ$77</definedName>
    <definedName name="_EFICACIA_CONTRATACION">'CALIFICACIÓN GASTO PÚBLICO'!$CZ$76</definedName>
    <definedName name="_EFICIENCIA_CONTRATACION">'CALIFICACIÓN GASTO PÚBLICO'!$CZ$78</definedName>
    <definedName name="Base">'MATERIALIDAD GASTO PÚBLICO'!$I$2:$I$13</definedName>
    <definedName name="BaseSeleccionada">'MATERIALIDAD GASTO PÚBLICO'!#REF!</definedName>
    <definedName name="entidades">#REF!</definedName>
    <definedName name="ETAP" localSheetId="16">'[1]CALIFICACION GASTO PUBLICO'!$A$65518:$A$65524</definedName>
    <definedName name="HALLAZGOS" localSheetId="16">'CALIFICACIÓN GASTO PÚBLICO'!$F$102:$F$110</definedName>
    <definedName name="INSTRUCTIVO_CALIFICACIÓN_DEL_GASTO_PÚBLICO">#REF!</definedName>
    <definedName name="Moneda" localSheetId="2">#REF!</definedName>
    <definedName name="Moneda">#REF!</definedName>
    <definedName name="Montbase">'[2]3. MATERIALIDAD FINANCIERA'!$E$49</definedName>
    <definedName name="Muestra_Min">'MATERIALIDAD GASTO PÚBLICO'!$F$30</definedName>
    <definedName name="Parametro_Min">'MATERIALIDAD GASTO PÚBLICO'!$C$30</definedName>
    <definedName name="ParaminAlta">'MATERIALIDAD GASTO PÚBLICO'!$O$74</definedName>
    <definedName name="ParaminBaja">'MATERIALIDAD GASTO PÚBLICO'!$O$72</definedName>
    <definedName name="ParaminMedia">'MATERIALIDAD GASTO PÚBLICO'!$O$73</definedName>
    <definedName name="Principios">#REF!</definedName>
    <definedName name="Riesgo">'MATERIALIDAD GASTO PÚBLICO'!$B$24</definedName>
    <definedName name="Riesgo_de_Control" localSheetId="2">#REF!</definedName>
    <definedName name="Riesgo_de_Control">#REF!</definedName>
    <definedName name="Situacionf">'[2]1. ANALÍTICA ESTADO SITUACIÓN F'!$B$124:$B$127</definedName>
    <definedName name="SUMA_MUESTRA">#REF!</definedName>
    <definedName name="TablaProcesos52">[2]!TablaProcesos5[#Data]</definedName>
    <definedName name="ValorUniverso">'MATERIALIDAD GASTO PÚBLICO'!$D$19</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24" i="14" l="1"/>
  <c r="K21" i="14"/>
  <c r="D21" i="14"/>
  <c r="D22" i="14"/>
  <c r="A34" i="10"/>
  <c r="D34" i="10" s="1"/>
  <c r="D44" i="10"/>
  <c r="C44" i="10"/>
  <c r="D39" i="10"/>
  <c r="C39" i="10"/>
  <c r="A39" i="10"/>
  <c r="C34" i="10"/>
  <c r="F34" i="13"/>
  <c r="B4" i="12"/>
  <c r="F51" i="9"/>
  <c r="J41" i="11" l="1"/>
  <c r="J34" i="11"/>
  <c r="V26" i="11"/>
  <c r="V27" i="11"/>
  <c r="V28" i="11"/>
  <c r="V29" i="11"/>
  <c r="V30" i="11"/>
  <c r="V31" i="11"/>
  <c r="V32" i="11"/>
  <c r="V33" i="11"/>
  <c r="V34" i="11"/>
  <c r="V35" i="11"/>
  <c r="V36" i="11"/>
  <c r="V37" i="11"/>
  <c r="V38" i="11"/>
  <c r="V39" i="11"/>
  <c r="V40" i="11"/>
  <c r="V41" i="11"/>
  <c r="V42" i="11"/>
  <c r="V43" i="11"/>
  <c r="V44" i="11"/>
  <c r="V45" i="11"/>
  <c r="V46" i="11"/>
  <c r="V47" i="11"/>
  <c r="V48" i="11"/>
  <c r="V49" i="11"/>
  <c r="V50" i="11"/>
  <c r="V51" i="11"/>
  <c r="V52" i="11"/>
  <c r="V53" i="11"/>
  <c r="V54" i="11"/>
  <c r="V55" i="11"/>
  <c r="V56" i="11"/>
  <c r="V57" i="11"/>
  <c r="V58" i="11"/>
  <c r="V59" i="11"/>
  <c r="V60" i="11"/>
  <c r="V61" i="11"/>
  <c r="V62" i="11"/>
  <c r="V63" i="11"/>
  <c r="V64" i="11"/>
  <c r="V65" i="11"/>
  <c r="V66" i="11"/>
  <c r="V67" i="11"/>
  <c r="V68" i="11"/>
  <c r="V69" i="11"/>
  <c r="V70" i="11"/>
  <c r="V71" i="11"/>
  <c r="V72" i="11"/>
  <c r="V73" i="11"/>
  <c r="V74" i="11"/>
  <c r="V75" i="11"/>
  <c r="V76" i="11"/>
  <c r="V77" i="11"/>
  <c r="V78" i="11"/>
  <c r="V79" i="11"/>
  <c r="V80" i="11"/>
  <c r="V81" i="11"/>
  <c r="V82" i="11"/>
  <c r="V83" i="11"/>
  <c r="V84" i="11"/>
  <c r="V85" i="11"/>
  <c r="V86" i="11"/>
  <c r="V87" i="11"/>
  <c r="V88" i="11"/>
  <c r="V89" i="11"/>
  <c r="V90" i="11"/>
  <c r="V91" i="11"/>
  <c r="V92" i="11"/>
  <c r="V93" i="11"/>
  <c r="V94" i="11"/>
  <c r="V95" i="11"/>
  <c r="V96" i="11"/>
  <c r="V97" i="11"/>
  <c r="V98" i="11"/>
  <c r="V99" i="11"/>
  <c r="V100" i="11"/>
  <c r="V101" i="11"/>
  <c r="V102" i="11"/>
  <c r="V103" i="11"/>
  <c r="V104" i="11"/>
  <c r="V105" i="11"/>
  <c r="V106" i="11"/>
  <c r="V107" i="11"/>
  <c r="V108" i="11"/>
  <c r="V109" i="11"/>
  <c r="V110" i="11"/>
  <c r="V111" i="11"/>
  <c r="V112" i="11"/>
  <c r="V113" i="11"/>
  <c r="V114" i="11"/>
  <c r="V115" i="11"/>
  <c r="V116" i="11"/>
  <c r="V117" i="11"/>
  <c r="V118" i="11"/>
  <c r="V119" i="11"/>
  <c r="V120" i="11"/>
  <c r="V121" i="11"/>
  <c r="V122" i="11"/>
  <c r="V123" i="11"/>
  <c r="V124" i="11"/>
  <c r="V125" i="11"/>
  <c r="V126" i="11"/>
  <c r="V127" i="11"/>
  <c r="V128" i="11"/>
  <c r="V129" i="11"/>
  <c r="V130" i="11"/>
  <c r="V131" i="11"/>
  <c r="V132" i="11"/>
  <c r="V133" i="11"/>
  <c r="V134" i="11"/>
  <c r="V135" i="11"/>
  <c r="V136" i="11"/>
  <c r="V137" i="11"/>
  <c r="V138" i="11"/>
  <c r="V139" i="11"/>
  <c r="V140" i="11"/>
  <c r="V141" i="11"/>
  <c r="V142" i="11"/>
  <c r="V143" i="11"/>
  <c r="V144" i="11"/>
  <c r="V145" i="11"/>
  <c r="V146" i="11"/>
  <c r="V147" i="11"/>
  <c r="V148" i="11"/>
  <c r="V149" i="11"/>
  <c r="V150" i="11"/>
  <c r="V151" i="11"/>
  <c r="V152" i="11"/>
  <c r="V153" i="11"/>
  <c r="V154" i="11"/>
  <c r="V155" i="11"/>
  <c r="V156" i="11"/>
  <c r="V157" i="11"/>
  <c r="V158" i="11"/>
  <c r="V159" i="11"/>
  <c r="V160" i="11"/>
  <c r="V161" i="11"/>
  <c r="V162" i="11"/>
  <c r="V163" i="11"/>
  <c r="V164" i="11"/>
  <c r="V165" i="11"/>
  <c r="V166" i="11"/>
  <c r="V167" i="11"/>
  <c r="V168" i="11"/>
  <c r="V169" i="11"/>
  <c r="V170" i="11"/>
  <c r="V171" i="11"/>
  <c r="V172" i="11"/>
  <c r="V173" i="11"/>
  <c r="V174" i="11"/>
  <c r="V175" i="11"/>
  <c r="V176" i="11"/>
  <c r="V177" i="11"/>
  <c r="V178" i="11"/>
  <c r="V179" i="11"/>
  <c r="V180" i="11"/>
  <c r="V181" i="11"/>
  <c r="V182" i="11"/>
  <c r="V183" i="11"/>
  <c r="V184" i="11"/>
  <c r="V185" i="11"/>
  <c r="V186" i="11"/>
  <c r="V187" i="11"/>
  <c r="V188" i="11"/>
  <c r="V189" i="11"/>
  <c r="V190" i="11"/>
  <c r="V191" i="11"/>
  <c r="V192" i="11"/>
  <c r="V193" i="11"/>
  <c r="V194" i="11"/>
  <c r="V195" i="11"/>
  <c r="V196" i="11"/>
  <c r="V197" i="11"/>
  <c r="V198" i="11"/>
  <c r="V199" i="11"/>
  <c r="V200" i="11"/>
  <c r="V201" i="11"/>
  <c r="V202" i="11"/>
  <c r="V203" i="11"/>
  <c r="V204" i="11"/>
  <c r="V205" i="11"/>
  <c r="V206" i="11"/>
  <c r="V207" i="11"/>
  <c r="V208" i="11"/>
  <c r="V209" i="11"/>
  <c r="V210" i="11"/>
  <c r="V211" i="11"/>
  <c r="V212" i="11"/>
  <c r="V213" i="11"/>
  <c r="V214" i="11"/>
  <c r="V215" i="11"/>
  <c r="V216" i="11"/>
  <c r="V217" i="11"/>
  <c r="V218" i="11"/>
  <c r="V219" i="11"/>
  <c r="V220" i="11"/>
  <c r="V221" i="11"/>
  <c r="V222" i="11"/>
  <c r="V223" i="11"/>
  <c r="V224" i="11"/>
  <c r="V225" i="11"/>
  <c r="V226" i="11"/>
  <c r="V227" i="11"/>
  <c r="V228" i="11"/>
  <c r="V229" i="11"/>
  <c r="V230" i="11"/>
  <c r="V231" i="11"/>
  <c r="V232" i="11"/>
  <c r="V233" i="11"/>
  <c r="V234" i="11"/>
  <c r="V235" i="11"/>
  <c r="V236" i="11"/>
  <c r="V237" i="11"/>
  <c r="V238" i="11"/>
  <c r="V239" i="11"/>
  <c r="V240" i="11"/>
  <c r="V241" i="11"/>
  <c r="V242" i="11"/>
  <c r="V243" i="11"/>
  <c r="V244" i="11"/>
  <c r="V245" i="11"/>
  <c r="V246" i="11"/>
  <c r="V247" i="11"/>
  <c r="V248" i="11"/>
  <c r="V249" i="11"/>
  <c r="V250" i="11"/>
  <c r="V251" i="11"/>
  <c r="V252" i="11"/>
  <c r="V253" i="11"/>
  <c r="V254" i="11"/>
  <c r="V255" i="11"/>
  <c r="V256" i="11"/>
  <c r="V257" i="11"/>
  <c r="V258" i="11"/>
  <c r="V259" i="11"/>
  <c r="V260" i="11"/>
  <c r="V261" i="11"/>
  <c r="V262" i="11"/>
  <c r="V263" i="11"/>
  <c r="V264" i="11"/>
  <c r="V265" i="11"/>
  <c r="V266" i="11"/>
  <c r="V267" i="11"/>
  <c r="V268" i="11"/>
  <c r="V269" i="11"/>
  <c r="V270" i="11"/>
  <c r="V271" i="11"/>
  <c r="V272" i="11"/>
  <c r="V273" i="11"/>
  <c r="V274" i="11"/>
  <c r="V275" i="11"/>
  <c r="V276" i="11"/>
  <c r="V277" i="11"/>
  <c r="V278" i="11"/>
  <c r="V279" i="11"/>
  <c r="V280" i="11"/>
  <c r="V281" i="11"/>
  <c r="V282" i="11"/>
  <c r="V283" i="11"/>
  <c r="V284" i="11"/>
  <c r="V285" i="11"/>
  <c r="V286" i="11"/>
  <c r="V287" i="11"/>
  <c r="V288" i="11"/>
  <c r="V289" i="11"/>
  <c r="V290" i="11"/>
  <c r="V291" i="11"/>
  <c r="V292" i="11"/>
  <c r="V293" i="11"/>
  <c r="V294" i="11"/>
  <c r="V295" i="11"/>
  <c r="V296" i="11"/>
  <c r="V297" i="11"/>
  <c r="V298" i="11"/>
  <c r="V299" i="11"/>
  <c r="V300" i="11"/>
  <c r="V301" i="11"/>
  <c r="V302" i="11"/>
  <c r="V303" i="11"/>
  <c r="V304" i="11"/>
  <c r="V305" i="11"/>
  <c r="V306" i="11"/>
  <c r="V307" i="11"/>
  <c r="V308" i="11"/>
  <c r="V309" i="11"/>
  <c r="V310" i="11"/>
  <c r="V311" i="11"/>
  <c r="V312" i="11"/>
  <c r="V313" i="11"/>
  <c r="V314" i="11"/>
  <c r="V315" i="11"/>
  <c r="V316" i="11"/>
  <c r="V317" i="11"/>
  <c r="V318" i="11"/>
  <c r="V319" i="11"/>
  <c r="V320" i="11"/>
  <c r="V321" i="11"/>
  <c r="V322" i="11"/>
  <c r="V323" i="11"/>
  <c r="V324" i="11"/>
  <c r="V325" i="11"/>
  <c r="V326" i="11"/>
  <c r="V327" i="11"/>
  <c r="V328" i="11"/>
  <c r="V329" i="11"/>
  <c r="V330" i="11"/>
  <c r="V331" i="11"/>
  <c r="V332" i="11"/>
  <c r="V333" i="11"/>
  <c r="V334" i="11"/>
  <c r="V335" i="11"/>
  <c r="V336" i="11"/>
  <c r="V337" i="11"/>
  <c r="V338" i="11"/>
  <c r="V339" i="11"/>
  <c r="V340" i="11"/>
  <c r="V341" i="11"/>
  <c r="V342" i="11"/>
  <c r="V343" i="11"/>
  <c r="V344" i="11"/>
  <c r="V345" i="11"/>
  <c r="V346" i="11"/>
  <c r="V347" i="11"/>
  <c r="V348" i="11"/>
  <c r="V349" i="11"/>
  <c r="V350" i="11"/>
  <c r="V351" i="11"/>
  <c r="V352" i="11"/>
  <c r="V353" i="11"/>
  <c r="V354" i="11"/>
  <c r="V355" i="11"/>
  <c r="V356" i="11"/>
  <c r="V357" i="11"/>
  <c r="V358" i="11"/>
  <c r="V359" i="11"/>
  <c r="V360" i="11"/>
  <c r="V361" i="11"/>
  <c r="V362" i="11"/>
  <c r="V363" i="11"/>
  <c r="V364" i="11"/>
  <c r="V365" i="11"/>
  <c r="V366" i="11"/>
  <c r="V367" i="11"/>
  <c r="V368" i="11"/>
  <c r="V369" i="11"/>
  <c r="V370" i="11"/>
  <c r="V371" i="11"/>
  <c r="V372" i="11"/>
  <c r="V373" i="11"/>
  <c r="V374" i="11"/>
  <c r="V375" i="11"/>
  <c r="V376" i="11"/>
  <c r="V377" i="11"/>
  <c r="V378" i="11"/>
  <c r="V379" i="11"/>
  <c r="V380" i="11"/>
  <c r="V381" i="11"/>
  <c r="V382" i="11"/>
  <c r="V383" i="11"/>
  <c r="V384" i="11"/>
  <c r="V385" i="11"/>
  <c r="V386" i="11"/>
  <c r="V387" i="11"/>
  <c r="V388" i="11"/>
  <c r="V389" i="11"/>
  <c r="V390" i="11"/>
  <c r="V391" i="11"/>
  <c r="V392" i="11"/>
  <c r="V393" i="11"/>
  <c r="V394" i="11"/>
  <c r="V395" i="11"/>
  <c r="V396" i="11"/>
  <c r="V397" i="11"/>
  <c r="V398" i="11"/>
  <c r="V399" i="11"/>
  <c r="V400" i="11"/>
  <c r="V401" i="11"/>
  <c r="V402" i="11"/>
  <c r="V403" i="11"/>
  <c r="V404" i="11"/>
  <c r="V405" i="11"/>
  <c r="V406" i="11"/>
  <c r="V407" i="11"/>
  <c r="V408" i="11"/>
  <c r="V409" i="11"/>
  <c r="V410" i="11"/>
  <c r="V411" i="11"/>
  <c r="V412" i="11"/>
  <c r="V413" i="11"/>
  <c r="V414" i="11"/>
  <c r="V415" i="11"/>
  <c r="V416" i="11"/>
  <c r="V417" i="11"/>
  <c r="V418" i="11"/>
  <c r="V419" i="11"/>
  <c r="V420" i="11"/>
  <c r="V421" i="11"/>
  <c r="V422" i="11"/>
  <c r="V423" i="11"/>
  <c r="V424" i="11"/>
  <c r="V425" i="11"/>
  <c r="V426" i="11"/>
  <c r="V427" i="11"/>
  <c r="V428" i="11"/>
  <c r="V429" i="11"/>
  <c r="V430" i="11"/>
  <c r="V431" i="11"/>
  <c r="V432" i="11"/>
  <c r="V433" i="11"/>
  <c r="V434" i="11"/>
  <c r="V435" i="11"/>
  <c r="V436" i="11"/>
  <c r="V437" i="11"/>
  <c r="V438" i="11"/>
  <c r="V439" i="11"/>
  <c r="V440" i="11"/>
  <c r="V441" i="11"/>
  <c r="V442" i="11"/>
  <c r="V443" i="11"/>
  <c r="V444" i="11"/>
  <c r="V445" i="11"/>
  <c r="V446" i="11"/>
  <c r="V447" i="11"/>
  <c r="V448" i="11"/>
  <c r="V449" i="11"/>
  <c r="V450" i="11"/>
  <c r="S26" i="11"/>
  <c r="S27" i="11"/>
  <c r="S28" i="11"/>
  <c r="S29" i="11"/>
  <c r="S30" i="11"/>
  <c r="S31" i="11"/>
  <c r="S32" i="11"/>
  <c r="S33" i="11"/>
  <c r="S34" i="11"/>
  <c r="S35" i="11"/>
  <c r="S36" i="11"/>
  <c r="S37" i="11"/>
  <c r="S38" i="11"/>
  <c r="S39" i="11"/>
  <c r="S40" i="11"/>
  <c r="S41" i="11"/>
  <c r="S42" i="11"/>
  <c r="S43" i="11"/>
  <c r="S44" i="11"/>
  <c r="S45" i="11"/>
  <c r="S46" i="11"/>
  <c r="S47" i="11"/>
  <c r="S48" i="11"/>
  <c r="S49" i="11"/>
  <c r="S50" i="11"/>
  <c r="S51" i="11"/>
  <c r="S52" i="11"/>
  <c r="S53" i="11"/>
  <c r="S54" i="11"/>
  <c r="S55" i="11"/>
  <c r="S56" i="11"/>
  <c r="S57" i="11"/>
  <c r="S58" i="11"/>
  <c r="S59" i="11"/>
  <c r="S60" i="11"/>
  <c r="S61" i="11"/>
  <c r="S62" i="11"/>
  <c r="S63" i="11"/>
  <c r="S64" i="11"/>
  <c r="S65" i="11"/>
  <c r="S66" i="11"/>
  <c r="S67" i="11"/>
  <c r="S68" i="11"/>
  <c r="S69" i="11"/>
  <c r="S70" i="11"/>
  <c r="S71" i="11"/>
  <c r="S72" i="11"/>
  <c r="S73" i="11"/>
  <c r="S74" i="11"/>
  <c r="S75" i="11"/>
  <c r="S76" i="11"/>
  <c r="S77" i="11"/>
  <c r="S78" i="11"/>
  <c r="S79" i="11"/>
  <c r="S80" i="11"/>
  <c r="S81" i="11"/>
  <c r="S82" i="11"/>
  <c r="S83" i="11"/>
  <c r="S84" i="11"/>
  <c r="S85" i="11"/>
  <c r="S86" i="11"/>
  <c r="S87" i="11"/>
  <c r="S88" i="11"/>
  <c r="S89" i="11"/>
  <c r="S90" i="11"/>
  <c r="S91" i="11"/>
  <c r="S92" i="11"/>
  <c r="S93" i="11"/>
  <c r="S94" i="11"/>
  <c r="S95" i="11"/>
  <c r="S96" i="11"/>
  <c r="S97" i="11"/>
  <c r="S98" i="11"/>
  <c r="S99" i="11"/>
  <c r="S100" i="11"/>
  <c r="S101" i="11"/>
  <c r="S102" i="11"/>
  <c r="S103" i="11"/>
  <c r="S104" i="11"/>
  <c r="S105" i="11"/>
  <c r="S106" i="11"/>
  <c r="S107" i="11"/>
  <c r="S108" i="11"/>
  <c r="S109" i="11"/>
  <c r="S110" i="11"/>
  <c r="S111" i="11"/>
  <c r="S112" i="11"/>
  <c r="S113" i="11"/>
  <c r="S114" i="11"/>
  <c r="S115" i="11"/>
  <c r="S116" i="11"/>
  <c r="S117" i="11"/>
  <c r="S118" i="11"/>
  <c r="S119" i="11"/>
  <c r="S120" i="11"/>
  <c r="S121" i="11"/>
  <c r="S122" i="11"/>
  <c r="S123" i="11"/>
  <c r="S124" i="11"/>
  <c r="S125" i="11"/>
  <c r="S126" i="11"/>
  <c r="S127" i="11"/>
  <c r="S128" i="11"/>
  <c r="S129" i="11"/>
  <c r="S130" i="11"/>
  <c r="S131" i="11"/>
  <c r="S132" i="11"/>
  <c r="S133" i="11"/>
  <c r="S134" i="11"/>
  <c r="S135" i="11"/>
  <c r="S136" i="11"/>
  <c r="S137" i="11"/>
  <c r="S138" i="11"/>
  <c r="S139" i="11"/>
  <c r="S140" i="11"/>
  <c r="S141" i="11"/>
  <c r="S142" i="11"/>
  <c r="S143" i="11"/>
  <c r="S144" i="11"/>
  <c r="S145" i="11"/>
  <c r="S146" i="11"/>
  <c r="S147" i="11"/>
  <c r="S148" i="11"/>
  <c r="S149" i="11"/>
  <c r="S150" i="11"/>
  <c r="S151" i="11"/>
  <c r="S152" i="11"/>
  <c r="S153" i="11"/>
  <c r="S154" i="11"/>
  <c r="S155" i="11"/>
  <c r="S156" i="11"/>
  <c r="S157" i="11"/>
  <c r="S158" i="11"/>
  <c r="S159" i="11"/>
  <c r="S160" i="11"/>
  <c r="S161" i="11"/>
  <c r="S162" i="11"/>
  <c r="S163" i="11"/>
  <c r="S164" i="11"/>
  <c r="S165" i="11"/>
  <c r="S166" i="11"/>
  <c r="S167" i="11"/>
  <c r="S168" i="11"/>
  <c r="S169" i="11"/>
  <c r="S170" i="11"/>
  <c r="S171" i="11"/>
  <c r="S172" i="11"/>
  <c r="S173" i="11"/>
  <c r="S174" i="11"/>
  <c r="S175" i="11"/>
  <c r="S176" i="11"/>
  <c r="S177" i="11"/>
  <c r="S178" i="11"/>
  <c r="S179" i="11"/>
  <c r="S180" i="11"/>
  <c r="S181" i="11"/>
  <c r="S182" i="11"/>
  <c r="S183" i="11"/>
  <c r="S184" i="11"/>
  <c r="S185" i="11"/>
  <c r="S186" i="11"/>
  <c r="S187" i="11"/>
  <c r="S188" i="11"/>
  <c r="S189" i="11"/>
  <c r="S190" i="11"/>
  <c r="S191" i="11"/>
  <c r="S192" i="11"/>
  <c r="S193" i="11"/>
  <c r="S194" i="11"/>
  <c r="S195" i="11"/>
  <c r="S196" i="11"/>
  <c r="S197" i="11"/>
  <c r="S198" i="11"/>
  <c r="S199" i="11"/>
  <c r="S200" i="11"/>
  <c r="S201" i="11"/>
  <c r="S202" i="11"/>
  <c r="S203" i="11"/>
  <c r="S204" i="11"/>
  <c r="S205" i="11"/>
  <c r="S206" i="11"/>
  <c r="S207" i="11"/>
  <c r="S208" i="11"/>
  <c r="S209" i="11"/>
  <c r="S210" i="11"/>
  <c r="S211" i="11"/>
  <c r="S212" i="11"/>
  <c r="S213" i="11"/>
  <c r="S214" i="11"/>
  <c r="S215" i="11"/>
  <c r="S216" i="11"/>
  <c r="S217" i="11"/>
  <c r="S218" i="11"/>
  <c r="S219" i="11"/>
  <c r="S220" i="11"/>
  <c r="S221" i="11"/>
  <c r="S222" i="11"/>
  <c r="S223" i="11"/>
  <c r="S224" i="11"/>
  <c r="S225" i="11"/>
  <c r="S226" i="11"/>
  <c r="S227" i="11"/>
  <c r="S228" i="11"/>
  <c r="S229" i="11"/>
  <c r="S230" i="11"/>
  <c r="S231" i="11"/>
  <c r="S232" i="11"/>
  <c r="S233" i="11"/>
  <c r="S234" i="11"/>
  <c r="S235" i="11"/>
  <c r="S236" i="11"/>
  <c r="S237" i="11"/>
  <c r="S238" i="11"/>
  <c r="S239" i="11"/>
  <c r="S240" i="11"/>
  <c r="S241" i="11"/>
  <c r="S242" i="11"/>
  <c r="S243" i="11"/>
  <c r="S244" i="11"/>
  <c r="S245" i="11"/>
  <c r="S246" i="11"/>
  <c r="S247" i="11"/>
  <c r="S248" i="11"/>
  <c r="S249" i="11"/>
  <c r="S250" i="11"/>
  <c r="S251" i="11"/>
  <c r="S252" i="11"/>
  <c r="S253" i="11"/>
  <c r="S254" i="11"/>
  <c r="S255" i="11"/>
  <c r="S256" i="11"/>
  <c r="S257" i="11"/>
  <c r="S258" i="11"/>
  <c r="S259" i="11"/>
  <c r="S260" i="11"/>
  <c r="S261" i="11"/>
  <c r="S262" i="11"/>
  <c r="S263" i="11"/>
  <c r="S264" i="11"/>
  <c r="S265" i="11"/>
  <c r="S266" i="11"/>
  <c r="S267" i="11"/>
  <c r="S268" i="11"/>
  <c r="S269" i="11"/>
  <c r="S270" i="11"/>
  <c r="S271" i="11"/>
  <c r="S272" i="11"/>
  <c r="S273" i="11"/>
  <c r="S274" i="11"/>
  <c r="S275" i="11"/>
  <c r="S276" i="11"/>
  <c r="S277" i="11"/>
  <c r="S278" i="11"/>
  <c r="S279" i="11"/>
  <c r="S280" i="11"/>
  <c r="S281" i="11"/>
  <c r="S282" i="11"/>
  <c r="S283" i="11"/>
  <c r="S284" i="11"/>
  <c r="S285" i="11"/>
  <c r="S286" i="11"/>
  <c r="S287" i="11"/>
  <c r="S288" i="11"/>
  <c r="S289" i="11"/>
  <c r="S290" i="11"/>
  <c r="S291" i="11"/>
  <c r="S292" i="11"/>
  <c r="S293" i="11"/>
  <c r="S294" i="11"/>
  <c r="S295" i="11"/>
  <c r="S296" i="11"/>
  <c r="S297" i="11"/>
  <c r="S298" i="11"/>
  <c r="S299" i="11"/>
  <c r="S300" i="11"/>
  <c r="S301" i="11"/>
  <c r="S302" i="11"/>
  <c r="S303" i="11"/>
  <c r="S304" i="11"/>
  <c r="S305" i="11"/>
  <c r="S306" i="11"/>
  <c r="S307" i="11"/>
  <c r="S308" i="11"/>
  <c r="S309" i="11"/>
  <c r="S310" i="11"/>
  <c r="S311" i="11"/>
  <c r="S312" i="11"/>
  <c r="S313" i="11"/>
  <c r="S314" i="11"/>
  <c r="S315" i="11"/>
  <c r="S316" i="11"/>
  <c r="S317" i="11"/>
  <c r="S318" i="11"/>
  <c r="S319" i="11"/>
  <c r="S320" i="11"/>
  <c r="S321" i="11"/>
  <c r="S322" i="11"/>
  <c r="S323" i="11"/>
  <c r="S324" i="11"/>
  <c r="S325" i="11"/>
  <c r="S326" i="11"/>
  <c r="S327" i="11"/>
  <c r="S328" i="11"/>
  <c r="S329" i="11"/>
  <c r="S330" i="11"/>
  <c r="S331" i="11"/>
  <c r="S332" i="11"/>
  <c r="S333" i="11"/>
  <c r="S334" i="11"/>
  <c r="S335" i="11"/>
  <c r="S336" i="11"/>
  <c r="S337" i="11"/>
  <c r="S338" i="11"/>
  <c r="S339" i="11"/>
  <c r="S340" i="11"/>
  <c r="S341" i="11"/>
  <c r="S342" i="11"/>
  <c r="S343" i="11"/>
  <c r="S344" i="11"/>
  <c r="S345" i="11"/>
  <c r="S346" i="11"/>
  <c r="S347" i="11"/>
  <c r="S348" i="11"/>
  <c r="S349" i="11"/>
  <c r="S350" i="11"/>
  <c r="S351" i="11"/>
  <c r="S352" i="11"/>
  <c r="S353" i="11"/>
  <c r="S354" i="11"/>
  <c r="S355" i="11"/>
  <c r="S356" i="11"/>
  <c r="S357" i="11"/>
  <c r="S358" i="11"/>
  <c r="S359" i="11"/>
  <c r="S360" i="11"/>
  <c r="S361" i="11"/>
  <c r="S362" i="11"/>
  <c r="S363" i="11"/>
  <c r="S364" i="11"/>
  <c r="S365" i="11"/>
  <c r="S366" i="11"/>
  <c r="S367" i="11"/>
  <c r="S368" i="11"/>
  <c r="S369" i="11"/>
  <c r="S370" i="11"/>
  <c r="S371" i="11"/>
  <c r="S372" i="11"/>
  <c r="S373" i="11"/>
  <c r="S374" i="11"/>
  <c r="S375" i="11"/>
  <c r="S376" i="11"/>
  <c r="S377" i="11"/>
  <c r="S378" i="11"/>
  <c r="S379" i="11"/>
  <c r="S380" i="11"/>
  <c r="S381" i="11"/>
  <c r="S382" i="11"/>
  <c r="S383" i="11"/>
  <c r="S384" i="11"/>
  <c r="S385" i="11"/>
  <c r="S386" i="11"/>
  <c r="S387" i="11"/>
  <c r="S388" i="11"/>
  <c r="S389" i="11"/>
  <c r="S390" i="11"/>
  <c r="S391" i="11"/>
  <c r="S392" i="11"/>
  <c r="S393" i="11"/>
  <c r="S394" i="11"/>
  <c r="S395" i="11"/>
  <c r="S396" i="11"/>
  <c r="S397" i="11"/>
  <c r="S398" i="11"/>
  <c r="S399" i="11"/>
  <c r="S400" i="11"/>
  <c r="S401" i="11"/>
  <c r="S402" i="11"/>
  <c r="S403" i="11"/>
  <c r="S404" i="11"/>
  <c r="S405" i="11"/>
  <c r="S406" i="11"/>
  <c r="S407" i="11"/>
  <c r="S408" i="11"/>
  <c r="S409" i="11"/>
  <c r="S410" i="11"/>
  <c r="S411" i="11"/>
  <c r="S412" i="11"/>
  <c r="S413" i="11"/>
  <c r="S414" i="11"/>
  <c r="S415" i="11"/>
  <c r="S416" i="11"/>
  <c r="S417" i="11"/>
  <c r="S418" i="11"/>
  <c r="S419" i="11"/>
  <c r="S420" i="11"/>
  <c r="S421" i="11"/>
  <c r="S422" i="11"/>
  <c r="S423" i="11"/>
  <c r="S424" i="11"/>
  <c r="S425" i="11"/>
  <c r="S426" i="11"/>
  <c r="S427" i="11"/>
  <c r="S428" i="11"/>
  <c r="S429" i="11"/>
  <c r="S430" i="11"/>
  <c r="S431" i="11"/>
  <c r="S432" i="11"/>
  <c r="S433" i="11"/>
  <c r="S434" i="11"/>
  <c r="S435" i="11"/>
  <c r="S436" i="11"/>
  <c r="S437" i="11"/>
  <c r="S438" i="11"/>
  <c r="S439" i="11"/>
  <c r="S440" i="11"/>
  <c r="S441" i="11"/>
  <c r="S442" i="11"/>
  <c r="S443" i="11"/>
  <c r="S444" i="11"/>
  <c r="S445" i="11"/>
  <c r="S446" i="11"/>
  <c r="S447" i="11"/>
  <c r="S448" i="11"/>
  <c r="S449" i="11"/>
  <c r="S450" i="11"/>
  <c r="P26" i="11"/>
  <c r="P27" i="11"/>
  <c r="P28" i="11"/>
  <c r="P29" i="11"/>
  <c r="P30" i="11"/>
  <c r="P31" i="11"/>
  <c r="P32" i="11"/>
  <c r="P33" i="11"/>
  <c r="P34" i="11"/>
  <c r="P35" i="11"/>
  <c r="P36" i="11"/>
  <c r="P37" i="11"/>
  <c r="P38" i="11"/>
  <c r="P39" i="11"/>
  <c r="P40" i="11"/>
  <c r="P41" i="11"/>
  <c r="P42" i="11"/>
  <c r="P43" i="11"/>
  <c r="P44" i="11"/>
  <c r="P45" i="11"/>
  <c r="P46" i="11"/>
  <c r="P47" i="11"/>
  <c r="P48" i="11"/>
  <c r="P49" i="11"/>
  <c r="P50" i="11"/>
  <c r="P51" i="11"/>
  <c r="P52" i="11"/>
  <c r="P53" i="11"/>
  <c r="P54" i="11"/>
  <c r="P55" i="11"/>
  <c r="P56" i="11"/>
  <c r="P57" i="11"/>
  <c r="P58" i="11"/>
  <c r="P59" i="11"/>
  <c r="P60" i="11"/>
  <c r="P61" i="11"/>
  <c r="P62" i="11"/>
  <c r="P63" i="11"/>
  <c r="P64" i="11"/>
  <c r="P65" i="11"/>
  <c r="P66" i="11"/>
  <c r="P67" i="11"/>
  <c r="P68" i="11"/>
  <c r="P69" i="11"/>
  <c r="P70" i="11"/>
  <c r="P71" i="11"/>
  <c r="P72" i="11"/>
  <c r="P73" i="11"/>
  <c r="P74" i="11"/>
  <c r="P75" i="11"/>
  <c r="P76" i="11"/>
  <c r="P77" i="11"/>
  <c r="P78" i="11"/>
  <c r="P79" i="11"/>
  <c r="P80" i="11"/>
  <c r="P81" i="11"/>
  <c r="P82" i="11"/>
  <c r="P83" i="11"/>
  <c r="P84" i="11"/>
  <c r="P85" i="11"/>
  <c r="P86" i="11"/>
  <c r="P87" i="11"/>
  <c r="P88" i="11"/>
  <c r="P89" i="11"/>
  <c r="P90" i="11"/>
  <c r="P91" i="11"/>
  <c r="P92" i="11"/>
  <c r="P93" i="11"/>
  <c r="P94" i="11"/>
  <c r="P95" i="11"/>
  <c r="P96" i="11"/>
  <c r="P97" i="11"/>
  <c r="P98" i="11"/>
  <c r="P99" i="11"/>
  <c r="P100" i="11"/>
  <c r="P101" i="11"/>
  <c r="P102" i="11"/>
  <c r="P103" i="11"/>
  <c r="P104" i="11"/>
  <c r="P105" i="11"/>
  <c r="P106" i="11"/>
  <c r="P107" i="11"/>
  <c r="P108" i="11"/>
  <c r="P109" i="11"/>
  <c r="P110" i="11"/>
  <c r="P111" i="11"/>
  <c r="P112" i="11"/>
  <c r="P113" i="11"/>
  <c r="P114" i="11"/>
  <c r="P115" i="11"/>
  <c r="P116" i="11"/>
  <c r="P117" i="11"/>
  <c r="P118" i="11"/>
  <c r="P119" i="11"/>
  <c r="P120" i="11"/>
  <c r="P121" i="11"/>
  <c r="P122" i="11"/>
  <c r="P123" i="11"/>
  <c r="P124" i="11"/>
  <c r="P125" i="11"/>
  <c r="P126" i="11"/>
  <c r="P127" i="11"/>
  <c r="P128" i="11"/>
  <c r="P129" i="11"/>
  <c r="P130" i="11"/>
  <c r="P131" i="11"/>
  <c r="P132" i="11"/>
  <c r="P133" i="11"/>
  <c r="P134" i="11"/>
  <c r="P135" i="11"/>
  <c r="P136" i="11"/>
  <c r="P137" i="11"/>
  <c r="P138" i="11"/>
  <c r="P139" i="11"/>
  <c r="P140" i="11"/>
  <c r="P141" i="11"/>
  <c r="P142" i="11"/>
  <c r="P143" i="11"/>
  <c r="P144" i="11"/>
  <c r="P145" i="11"/>
  <c r="P146" i="11"/>
  <c r="P147" i="11"/>
  <c r="P148" i="11"/>
  <c r="P149" i="11"/>
  <c r="P150" i="11"/>
  <c r="P151" i="11"/>
  <c r="P152" i="11"/>
  <c r="P153" i="11"/>
  <c r="P154" i="11"/>
  <c r="P155" i="11"/>
  <c r="P156" i="11"/>
  <c r="P157" i="11"/>
  <c r="P158" i="11"/>
  <c r="P159" i="11"/>
  <c r="P160" i="11"/>
  <c r="P161" i="11"/>
  <c r="P162" i="11"/>
  <c r="P163" i="11"/>
  <c r="P164" i="11"/>
  <c r="P165" i="11"/>
  <c r="P166" i="11"/>
  <c r="P167" i="11"/>
  <c r="P168" i="11"/>
  <c r="P169" i="11"/>
  <c r="P170" i="11"/>
  <c r="P171" i="11"/>
  <c r="P172" i="11"/>
  <c r="P173" i="11"/>
  <c r="P174" i="11"/>
  <c r="P175" i="11"/>
  <c r="P176" i="11"/>
  <c r="P177" i="11"/>
  <c r="P178" i="11"/>
  <c r="P179" i="11"/>
  <c r="P180" i="11"/>
  <c r="P181" i="11"/>
  <c r="P182" i="11"/>
  <c r="P183" i="11"/>
  <c r="P184" i="11"/>
  <c r="P185" i="11"/>
  <c r="P186" i="11"/>
  <c r="P187" i="11"/>
  <c r="P188" i="11"/>
  <c r="P189" i="11"/>
  <c r="P190" i="11"/>
  <c r="P191" i="11"/>
  <c r="P192" i="11"/>
  <c r="P193" i="11"/>
  <c r="P194" i="11"/>
  <c r="P195" i="11"/>
  <c r="P196" i="11"/>
  <c r="P197" i="11"/>
  <c r="P198" i="11"/>
  <c r="P199" i="11"/>
  <c r="P200" i="11"/>
  <c r="P201" i="11"/>
  <c r="P202" i="11"/>
  <c r="P203" i="11"/>
  <c r="P204" i="11"/>
  <c r="P205" i="11"/>
  <c r="P206" i="11"/>
  <c r="P207" i="11"/>
  <c r="P208" i="11"/>
  <c r="P209" i="11"/>
  <c r="P210" i="11"/>
  <c r="P211" i="11"/>
  <c r="P212" i="11"/>
  <c r="P213" i="11"/>
  <c r="P214" i="11"/>
  <c r="P215" i="11"/>
  <c r="P216" i="11"/>
  <c r="P217" i="11"/>
  <c r="P218" i="11"/>
  <c r="P219" i="11"/>
  <c r="P220" i="11"/>
  <c r="P221" i="11"/>
  <c r="P222" i="11"/>
  <c r="P223" i="11"/>
  <c r="P224" i="11"/>
  <c r="P225" i="11"/>
  <c r="P226" i="11"/>
  <c r="P227" i="11"/>
  <c r="P228" i="11"/>
  <c r="P229" i="11"/>
  <c r="P230" i="11"/>
  <c r="P231" i="11"/>
  <c r="P232" i="11"/>
  <c r="P233" i="11"/>
  <c r="P234" i="11"/>
  <c r="P235" i="11"/>
  <c r="P236" i="11"/>
  <c r="P237" i="11"/>
  <c r="P238" i="11"/>
  <c r="P239" i="11"/>
  <c r="P240" i="11"/>
  <c r="P241" i="11"/>
  <c r="P242" i="11"/>
  <c r="P243" i="11"/>
  <c r="P244" i="11"/>
  <c r="P245" i="11"/>
  <c r="P246" i="11"/>
  <c r="P247" i="11"/>
  <c r="P248" i="11"/>
  <c r="P249" i="11"/>
  <c r="P250" i="11"/>
  <c r="P251" i="11"/>
  <c r="P252" i="11"/>
  <c r="P253" i="11"/>
  <c r="P254" i="11"/>
  <c r="P255" i="11"/>
  <c r="P256" i="11"/>
  <c r="P257" i="11"/>
  <c r="P258" i="11"/>
  <c r="P259" i="11"/>
  <c r="P260" i="11"/>
  <c r="P261" i="11"/>
  <c r="P262" i="11"/>
  <c r="P263" i="11"/>
  <c r="P264" i="11"/>
  <c r="P265" i="11"/>
  <c r="P266" i="11"/>
  <c r="P267" i="11"/>
  <c r="P268" i="11"/>
  <c r="P269" i="11"/>
  <c r="P270" i="11"/>
  <c r="P271" i="11"/>
  <c r="P272" i="11"/>
  <c r="P273" i="11"/>
  <c r="P274" i="11"/>
  <c r="P275" i="11"/>
  <c r="P276" i="11"/>
  <c r="P277" i="11"/>
  <c r="P278" i="11"/>
  <c r="P279" i="11"/>
  <c r="P280" i="11"/>
  <c r="P281" i="11"/>
  <c r="P282" i="11"/>
  <c r="P283" i="11"/>
  <c r="P284" i="11"/>
  <c r="P285" i="11"/>
  <c r="P286" i="11"/>
  <c r="P287" i="11"/>
  <c r="P288" i="11"/>
  <c r="P289" i="11"/>
  <c r="P290" i="11"/>
  <c r="P291" i="11"/>
  <c r="P292" i="11"/>
  <c r="P293" i="11"/>
  <c r="P294" i="11"/>
  <c r="P295" i="11"/>
  <c r="P296" i="11"/>
  <c r="P297" i="11"/>
  <c r="P298" i="11"/>
  <c r="P299" i="11"/>
  <c r="P300" i="11"/>
  <c r="P301" i="11"/>
  <c r="P302" i="11"/>
  <c r="P303" i="11"/>
  <c r="P304" i="11"/>
  <c r="P305" i="11"/>
  <c r="P306" i="11"/>
  <c r="P307" i="11"/>
  <c r="P308" i="11"/>
  <c r="P309" i="11"/>
  <c r="P310" i="11"/>
  <c r="P311" i="11"/>
  <c r="P312" i="11"/>
  <c r="P313" i="11"/>
  <c r="P314" i="11"/>
  <c r="P315" i="11"/>
  <c r="P316" i="11"/>
  <c r="P317" i="11"/>
  <c r="P318" i="11"/>
  <c r="P319" i="11"/>
  <c r="P320" i="11"/>
  <c r="P321" i="11"/>
  <c r="P322" i="11"/>
  <c r="P323" i="11"/>
  <c r="P324" i="11"/>
  <c r="P325" i="11"/>
  <c r="P326" i="11"/>
  <c r="P327" i="11"/>
  <c r="P328" i="11"/>
  <c r="P329" i="11"/>
  <c r="P330" i="11"/>
  <c r="P331" i="11"/>
  <c r="P332" i="11"/>
  <c r="P333" i="11"/>
  <c r="P334" i="11"/>
  <c r="P335" i="11"/>
  <c r="P336" i="11"/>
  <c r="P337" i="11"/>
  <c r="P338" i="11"/>
  <c r="P339" i="11"/>
  <c r="P340" i="11"/>
  <c r="P341" i="11"/>
  <c r="P342" i="11"/>
  <c r="P343" i="11"/>
  <c r="P344" i="11"/>
  <c r="P345" i="11"/>
  <c r="P346" i="11"/>
  <c r="P347" i="11"/>
  <c r="P348" i="11"/>
  <c r="P349" i="11"/>
  <c r="P350" i="11"/>
  <c r="P351" i="11"/>
  <c r="P352" i="11"/>
  <c r="P353" i="11"/>
  <c r="P354" i="11"/>
  <c r="P355" i="11"/>
  <c r="P356" i="11"/>
  <c r="P357" i="11"/>
  <c r="P358" i="11"/>
  <c r="P359" i="11"/>
  <c r="P360" i="11"/>
  <c r="P361" i="11"/>
  <c r="P362" i="11"/>
  <c r="P363" i="11"/>
  <c r="P364" i="11"/>
  <c r="P365" i="11"/>
  <c r="P366" i="11"/>
  <c r="P367" i="11"/>
  <c r="P368" i="11"/>
  <c r="P369" i="11"/>
  <c r="P370" i="11"/>
  <c r="P371" i="11"/>
  <c r="P372" i="11"/>
  <c r="P373" i="11"/>
  <c r="P374" i="11"/>
  <c r="P375" i="11"/>
  <c r="P376" i="11"/>
  <c r="P377" i="11"/>
  <c r="P378" i="11"/>
  <c r="P379" i="11"/>
  <c r="P380" i="11"/>
  <c r="P381" i="11"/>
  <c r="P382" i="11"/>
  <c r="P383" i="11"/>
  <c r="P384" i="11"/>
  <c r="P385" i="11"/>
  <c r="P386" i="11"/>
  <c r="P387" i="11"/>
  <c r="P388" i="11"/>
  <c r="P389" i="11"/>
  <c r="P390" i="11"/>
  <c r="P391" i="11"/>
  <c r="P392" i="11"/>
  <c r="P393" i="11"/>
  <c r="P394" i="11"/>
  <c r="P395" i="11"/>
  <c r="P396" i="11"/>
  <c r="P397" i="11"/>
  <c r="P398" i="11"/>
  <c r="P399" i="11"/>
  <c r="P400" i="11"/>
  <c r="P401" i="11"/>
  <c r="P402" i="11"/>
  <c r="P403" i="11"/>
  <c r="P404" i="11"/>
  <c r="P405" i="11"/>
  <c r="P406" i="11"/>
  <c r="P407" i="11"/>
  <c r="P408" i="11"/>
  <c r="P409" i="11"/>
  <c r="P410" i="11"/>
  <c r="P411" i="11"/>
  <c r="P412" i="11"/>
  <c r="P413" i="11"/>
  <c r="P414" i="11"/>
  <c r="P415" i="11"/>
  <c r="P416" i="11"/>
  <c r="P417" i="11"/>
  <c r="P418" i="11"/>
  <c r="P419" i="11"/>
  <c r="P420" i="11"/>
  <c r="P421" i="11"/>
  <c r="P422" i="11"/>
  <c r="P423" i="11"/>
  <c r="P424" i="11"/>
  <c r="P425" i="11"/>
  <c r="P426" i="11"/>
  <c r="P427" i="11"/>
  <c r="P428" i="11"/>
  <c r="P429" i="11"/>
  <c r="P430" i="11"/>
  <c r="P431" i="11"/>
  <c r="P432" i="11"/>
  <c r="P433" i="11"/>
  <c r="P434" i="11"/>
  <c r="P435" i="11"/>
  <c r="P436" i="11"/>
  <c r="P437" i="11"/>
  <c r="P438" i="11"/>
  <c r="P439" i="11"/>
  <c r="P440" i="11"/>
  <c r="P441" i="11"/>
  <c r="P442" i="11"/>
  <c r="P443" i="11"/>
  <c r="P444" i="11"/>
  <c r="P445" i="11"/>
  <c r="P446" i="11"/>
  <c r="P447" i="11"/>
  <c r="P448" i="11"/>
  <c r="P449" i="11"/>
  <c r="P450" i="11"/>
  <c r="M26" i="11"/>
  <c r="M27" i="11"/>
  <c r="M28" i="11"/>
  <c r="M29" i="11"/>
  <c r="M30" i="11"/>
  <c r="M31" i="11"/>
  <c r="M32" i="11"/>
  <c r="M33" i="11"/>
  <c r="M34" i="11"/>
  <c r="M35" i="11"/>
  <c r="M36" i="11"/>
  <c r="M37" i="11"/>
  <c r="M38" i="11"/>
  <c r="M39" i="11"/>
  <c r="M40" i="11"/>
  <c r="M41" i="11"/>
  <c r="M42" i="11"/>
  <c r="M43" i="11"/>
  <c r="M44" i="11"/>
  <c r="M45" i="11"/>
  <c r="M46" i="11"/>
  <c r="M47" i="11"/>
  <c r="M48" i="11"/>
  <c r="M49" i="11"/>
  <c r="M50" i="11"/>
  <c r="M51" i="11"/>
  <c r="M52" i="11"/>
  <c r="M53" i="11"/>
  <c r="M54" i="11"/>
  <c r="M55" i="11"/>
  <c r="M56" i="11"/>
  <c r="M57" i="11"/>
  <c r="M58" i="11"/>
  <c r="M59" i="11"/>
  <c r="M60" i="11"/>
  <c r="M61" i="11"/>
  <c r="M62" i="11"/>
  <c r="M63" i="11"/>
  <c r="M64" i="11"/>
  <c r="M65" i="11"/>
  <c r="M66" i="11"/>
  <c r="M67" i="11"/>
  <c r="M68" i="11"/>
  <c r="M69" i="11"/>
  <c r="M70" i="11"/>
  <c r="M71" i="11"/>
  <c r="M72" i="11"/>
  <c r="M73" i="11"/>
  <c r="M74" i="11"/>
  <c r="M75" i="11"/>
  <c r="M76" i="11"/>
  <c r="M77" i="11"/>
  <c r="M78" i="11"/>
  <c r="M79" i="11"/>
  <c r="M80" i="11"/>
  <c r="M81" i="11"/>
  <c r="M82" i="11"/>
  <c r="M83" i="11"/>
  <c r="M84" i="11"/>
  <c r="M85" i="11"/>
  <c r="M86" i="11"/>
  <c r="M87" i="11"/>
  <c r="M88" i="11"/>
  <c r="M89" i="11"/>
  <c r="M90" i="11"/>
  <c r="M91" i="11"/>
  <c r="M92" i="11"/>
  <c r="M93" i="11"/>
  <c r="M94" i="11"/>
  <c r="M95" i="11"/>
  <c r="M96" i="11"/>
  <c r="M97" i="11"/>
  <c r="M98" i="11"/>
  <c r="M99" i="11"/>
  <c r="M100" i="11"/>
  <c r="M101" i="11"/>
  <c r="M102" i="11"/>
  <c r="M103" i="11"/>
  <c r="M104" i="11"/>
  <c r="M105" i="11"/>
  <c r="M106" i="11"/>
  <c r="M107" i="11"/>
  <c r="M108" i="11"/>
  <c r="M109" i="11"/>
  <c r="M110" i="11"/>
  <c r="M111" i="11"/>
  <c r="M112" i="11"/>
  <c r="M113" i="11"/>
  <c r="M114" i="11"/>
  <c r="M115" i="11"/>
  <c r="M116" i="11"/>
  <c r="M117" i="11"/>
  <c r="M118" i="11"/>
  <c r="M119" i="11"/>
  <c r="M120" i="11"/>
  <c r="M121" i="11"/>
  <c r="M122" i="11"/>
  <c r="M123" i="11"/>
  <c r="M124" i="11"/>
  <c r="M125" i="11"/>
  <c r="M126" i="11"/>
  <c r="M127" i="11"/>
  <c r="M128" i="11"/>
  <c r="M129" i="11"/>
  <c r="M130" i="11"/>
  <c r="M131" i="11"/>
  <c r="M132" i="11"/>
  <c r="M133" i="11"/>
  <c r="M134" i="11"/>
  <c r="M135" i="11"/>
  <c r="M136" i="11"/>
  <c r="M137" i="11"/>
  <c r="M138" i="11"/>
  <c r="M139" i="11"/>
  <c r="M140" i="11"/>
  <c r="M141" i="11"/>
  <c r="M142" i="11"/>
  <c r="M143" i="11"/>
  <c r="M144" i="11"/>
  <c r="M145" i="11"/>
  <c r="M146" i="11"/>
  <c r="M147" i="11"/>
  <c r="M148" i="11"/>
  <c r="M149" i="11"/>
  <c r="M150" i="11"/>
  <c r="M151" i="11"/>
  <c r="M152" i="11"/>
  <c r="M153" i="11"/>
  <c r="M154" i="11"/>
  <c r="M155" i="11"/>
  <c r="M156" i="11"/>
  <c r="M157" i="11"/>
  <c r="M158" i="11"/>
  <c r="M159" i="11"/>
  <c r="M160" i="11"/>
  <c r="M161" i="11"/>
  <c r="M162" i="11"/>
  <c r="M163" i="11"/>
  <c r="M164" i="11"/>
  <c r="M165" i="11"/>
  <c r="M166" i="11"/>
  <c r="M167" i="11"/>
  <c r="M168" i="11"/>
  <c r="M169" i="11"/>
  <c r="M170" i="11"/>
  <c r="M171" i="11"/>
  <c r="M172" i="11"/>
  <c r="M173" i="11"/>
  <c r="M174" i="11"/>
  <c r="M175" i="11"/>
  <c r="M176" i="11"/>
  <c r="M177" i="11"/>
  <c r="M178" i="11"/>
  <c r="M179" i="11"/>
  <c r="M180" i="11"/>
  <c r="M181" i="11"/>
  <c r="M182" i="11"/>
  <c r="M183" i="11"/>
  <c r="M184" i="11"/>
  <c r="M185" i="11"/>
  <c r="M186" i="11"/>
  <c r="M187" i="11"/>
  <c r="M188" i="11"/>
  <c r="M189" i="11"/>
  <c r="M190" i="11"/>
  <c r="M191" i="11"/>
  <c r="M192" i="11"/>
  <c r="M193" i="11"/>
  <c r="M194" i="11"/>
  <c r="M195" i="11"/>
  <c r="M196" i="11"/>
  <c r="M197" i="11"/>
  <c r="M198" i="11"/>
  <c r="M199" i="11"/>
  <c r="M200" i="11"/>
  <c r="M201" i="11"/>
  <c r="M202" i="11"/>
  <c r="M203" i="11"/>
  <c r="M204" i="11"/>
  <c r="M205" i="11"/>
  <c r="M206" i="11"/>
  <c r="M207" i="11"/>
  <c r="M208" i="11"/>
  <c r="M209" i="11"/>
  <c r="M210" i="11"/>
  <c r="M211" i="11"/>
  <c r="M212" i="11"/>
  <c r="M213" i="11"/>
  <c r="M214" i="11"/>
  <c r="M215" i="11"/>
  <c r="M216" i="11"/>
  <c r="M217" i="11"/>
  <c r="M218" i="11"/>
  <c r="M219" i="11"/>
  <c r="M220" i="11"/>
  <c r="M221" i="11"/>
  <c r="M222" i="11"/>
  <c r="M223" i="11"/>
  <c r="M224" i="11"/>
  <c r="M225" i="11"/>
  <c r="M226" i="11"/>
  <c r="M227" i="11"/>
  <c r="M228" i="11"/>
  <c r="M229" i="11"/>
  <c r="M230" i="11"/>
  <c r="M231" i="11"/>
  <c r="M232" i="11"/>
  <c r="M233" i="11"/>
  <c r="M234" i="11"/>
  <c r="M235" i="11"/>
  <c r="M236" i="11"/>
  <c r="M237" i="11"/>
  <c r="M238" i="11"/>
  <c r="M239" i="11"/>
  <c r="M240" i="11"/>
  <c r="M241" i="11"/>
  <c r="M242" i="11"/>
  <c r="M243" i="11"/>
  <c r="M244" i="11"/>
  <c r="M245" i="11"/>
  <c r="M246" i="11"/>
  <c r="M247" i="11"/>
  <c r="M248" i="11"/>
  <c r="M249" i="11"/>
  <c r="M250" i="11"/>
  <c r="M251" i="11"/>
  <c r="M252" i="11"/>
  <c r="M253" i="11"/>
  <c r="M254" i="11"/>
  <c r="M255" i="11"/>
  <c r="M256" i="11"/>
  <c r="M257" i="11"/>
  <c r="M258" i="11"/>
  <c r="M259" i="11"/>
  <c r="M260" i="11"/>
  <c r="M261" i="11"/>
  <c r="M262" i="11"/>
  <c r="M263" i="11"/>
  <c r="M264" i="11"/>
  <c r="M265" i="11"/>
  <c r="M266" i="11"/>
  <c r="M267" i="11"/>
  <c r="M268" i="11"/>
  <c r="M269" i="11"/>
  <c r="M270" i="11"/>
  <c r="M271" i="11"/>
  <c r="M272" i="11"/>
  <c r="M273" i="11"/>
  <c r="M274" i="11"/>
  <c r="M275" i="11"/>
  <c r="M276" i="11"/>
  <c r="M277" i="11"/>
  <c r="M278" i="11"/>
  <c r="M279" i="11"/>
  <c r="M280" i="11"/>
  <c r="M281" i="11"/>
  <c r="M282" i="11"/>
  <c r="M283" i="11"/>
  <c r="M284" i="11"/>
  <c r="M285" i="11"/>
  <c r="M286" i="11"/>
  <c r="M287" i="11"/>
  <c r="M288" i="11"/>
  <c r="M289" i="11"/>
  <c r="M290" i="11"/>
  <c r="M291" i="11"/>
  <c r="M292" i="11"/>
  <c r="M293" i="11"/>
  <c r="M294" i="11"/>
  <c r="M295" i="11"/>
  <c r="M296" i="11"/>
  <c r="M297" i="11"/>
  <c r="M298" i="11"/>
  <c r="M299" i="11"/>
  <c r="M300" i="11"/>
  <c r="M301" i="11"/>
  <c r="M302" i="11"/>
  <c r="M303" i="11"/>
  <c r="M304" i="11"/>
  <c r="M305" i="11"/>
  <c r="M306" i="11"/>
  <c r="M307" i="11"/>
  <c r="M308" i="11"/>
  <c r="M309" i="11"/>
  <c r="M310" i="11"/>
  <c r="M311" i="11"/>
  <c r="M312" i="11"/>
  <c r="M313" i="11"/>
  <c r="M314" i="11"/>
  <c r="M315" i="11"/>
  <c r="M316" i="11"/>
  <c r="M317" i="11"/>
  <c r="M318" i="11"/>
  <c r="M319" i="11"/>
  <c r="M320" i="11"/>
  <c r="M321" i="11"/>
  <c r="M322" i="11"/>
  <c r="M323" i="11"/>
  <c r="M324" i="11"/>
  <c r="M325" i="11"/>
  <c r="M326" i="11"/>
  <c r="M327" i="11"/>
  <c r="M328" i="11"/>
  <c r="M329" i="11"/>
  <c r="M330" i="11"/>
  <c r="M331" i="11"/>
  <c r="M332" i="11"/>
  <c r="M333" i="11"/>
  <c r="M334" i="11"/>
  <c r="M335" i="11"/>
  <c r="M336" i="11"/>
  <c r="M337" i="11"/>
  <c r="M338" i="11"/>
  <c r="M339" i="11"/>
  <c r="M340" i="11"/>
  <c r="M341" i="11"/>
  <c r="M342" i="11"/>
  <c r="M343" i="11"/>
  <c r="M344" i="11"/>
  <c r="M345" i="11"/>
  <c r="M346" i="11"/>
  <c r="M347" i="11"/>
  <c r="M348" i="11"/>
  <c r="M349" i="11"/>
  <c r="M350" i="11"/>
  <c r="M351" i="11"/>
  <c r="M352" i="11"/>
  <c r="M353" i="11"/>
  <c r="M354" i="11"/>
  <c r="M355" i="11"/>
  <c r="M356" i="11"/>
  <c r="M357" i="11"/>
  <c r="M358" i="11"/>
  <c r="M359" i="11"/>
  <c r="M360" i="11"/>
  <c r="M361" i="11"/>
  <c r="M362" i="11"/>
  <c r="M363" i="11"/>
  <c r="M364" i="11"/>
  <c r="M365" i="11"/>
  <c r="M366" i="11"/>
  <c r="M367" i="11"/>
  <c r="M368" i="11"/>
  <c r="M369" i="11"/>
  <c r="M370" i="11"/>
  <c r="M371" i="11"/>
  <c r="M372" i="11"/>
  <c r="M373" i="11"/>
  <c r="M374" i="11"/>
  <c r="M375" i="11"/>
  <c r="M376" i="11"/>
  <c r="M377" i="11"/>
  <c r="M378" i="11"/>
  <c r="M379" i="11"/>
  <c r="M380" i="11"/>
  <c r="M381" i="11"/>
  <c r="M382" i="11"/>
  <c r="M383" i="11"/>
  <c r="M384" i="11"/>
  <c r="M385" i="11"/>
  <c r="M386" i="11"/>
  <c r="M387" i="11"/>
  <c r="M388" i="11"/>
  <c r="M389" i="11"/>
  <c r="M390" i="11"/>
  <c r="M391" i="11"/>
  <c r="M392" i="11"/>
  <c r="M393" i="11"/>
  <c r="M394" i="11"/>
  <c r="M395" i="11"/>
  <c r="M396" i="11"/>
  <c r="M397" i="11"/>
  <c r="M398" i="11"/>
  <c r="M399" i="11"/>
  <c r="M400" i="11"/>
  <c r="M401" i="11"/>
  <c r="M402" i="11"/>
  <c r="M403" i="11"/>
  <c r="M404" i="11"/>
  <c r="M405" i="11"/>
  <c r="M406" i="11"/>
  <c r="M407" i="11"/>
  <c r="M408" i="11"/>
  <c r="M409" i="11"/>
  <c r="M410" i="11"/>
  <c r="M411" i="11"/>
  <c r="M412" i="11"/>
  <c r="M413" i="11"/>
  <c r="M414" i="11"/>
  <c r="M415" i="11"/>
  <c r="M416" i="11"/>
  <c r="M417" i="11"/>
  <c r="M418" i="11"/>
  <c r="M419" i="11"/>
  <c r="M420" i="11"/>
  <c r="M421" i="11"/>
  <c r="M422" i="11"/>
  <c r="M423" i="11"/>
  <c r="M424" i="11"/>
  <c r="M425" i="11"/>
  <c r="M426" i="11"/>
  <c r="M427" i="11"/>
  <c r="M428" i="11"/>
  <c r="M429" i="11"/>
  <c r="M430" i="11"/>
  <c r="M431" i="11"/>
  <c r="M432" i="11"/>
  <c r="M433" i="11"/>
  <c r="M434" i="11"/>
  <c r="M435" i="11"/>
  <c r="M436" i="11"/>
  <c r="M437" i="11"/>
  <c r="M438" i="11"/>
  <c r="M439" i="11"/>
  <c r="M440" i="11"/>
  <c r="M441" i="11"/>
  <c r="M442" i="11"/>
  <c r="M443" i="11"/>
  <c r="M444" i="11"/>
  <c r="M445" i="11"/>
  <c r="M446" i="11"/>
  <c r="M447" i="11"/>
  <c r="M448" i="11"/>
  <c r="M449" i="11"/>
  <c r="M450" i="11"/>
  <c r="J26" i="11"/>
  <c r="J27" i="11"/>
  <c r="J28" i="11"/>
  <c r="J29" i="11"/>
  <c r="J30" i="11"/>
  <c r="J31" i="11"/>
  <c r="J32" i="11"/>
  <c r="J33" i="11"/>
  <c r="J35" i="11"/>
  <c r="J36" i="11"/>
  <c r="J37" i="11"/>
  <c r="J38" i="11"/>
  <c r="J39" i="11"/>
  <c r="J40" i="11"/>
  <c r="J42" i="11"/>
  <c r="J43" i="11"/>
  <c r="J44" i="11"/>
  <c r="J45" i="11"/>
  <c r="J46" i="11"/>
  <c r="J47" i="11"/>
  <c r="J48" i="11"/>
  <c r="J49" i="11"/>
  <c r="J50" i="11"/>
  <c r="J51" i="11"/>
  <c r="J52" i="11"/>
  <c r="J53" i="11"/>
  <c r="J54" i="11"/>
  <c r="J55" i="11"/>
  <c r="J56" i="11"/>
  <c r="J57" i="11"/>
  <c r="J58" i="11"/>
  <c r="J59" i="11"/>
  <c r="J60" i="11"/>
  <c r="J61" i="11"/>
  <c r="J62" i="11"/>
  <c r="J63" i="11"/>
  <c r="J64" i="11"/>
  <c r="J65" i="11"/>
  <c r="J66" i="11"/>
  <c r="J67" i="11"/>
  <c r="J68" i="11"/>
  <c r="J69" i="11"/>
  <c r="J70" i="11"/>
  <c r="J71" i="11"/>
  <c r="J72" i="11"/>
  <c r="J73" i="11"/>
  <c r="J74" i="11"/>
  <c r="J75" i="11"/>
  <c r="J76" i="11"/>
  <c r="J77" i="11"/>
  <c r="J78" i="11"/>
  <c r="J79" i="11"/>
  <c r="J80" i="11"/>
  <c r="J81" i="11"/>
  <c r="J82" i="11"/>
  <c r="J83" i="11"/>
  <c r="J84" i="11"/>
  <c r="J85" i="11"/>
  <c r="J86" i="11"/>
  <c r="J87" i="11"/>
  <c r="J88" i="11"/>
  <c r="J89" i="11"/>
  <c r="J90" i="11"/>
  <c r="J91" i="11"/>
  <c r="J92" i="11"/>
  <c r="J93" i="11"/>
  <c r="J94" i="11"/>
  <c r="J95" i="11"/>
  <c r="J96" i="11"/>
  <c r="J97" i="11"/>
  <c r="J98" i="11"/>
  <c r="J99" i="11"/>
  <c r="J100" i="11"/>
  <c r="J101" i="11"/>
  <c r="J102" i="11"/>
  <c r="J103" i="11"/>
  <c r="J104" i="11"/>
  <c r="J105" i="11"/>
  <c r="J106" i="11"/>
  <c r="J107" i="11"/>
  <c r="J108" i="11"/>
  <c r="J109" i="11"/>
  <c r="J110" i="11"/>
  <c r="J111" i="11"/>
  <c r="J112" i="11"/>
  <c r="J113" i="11"/>
  <c r="J114" i="11"/>
  <c r="J115" i="11"/>
  <c r="J116" i="11"/>
  <c r="J117" i="11"/>
  <c r="J118" i="11"/>
  <c r="J119" i="11"/>
  <c r="J120" i="11"/>
  <c r="J121" i="11"/>
  <c r="J122" i="11"/>
  <c r="J123" i="11"/>
  <c r="J124" i="11"/>
  <c r="J125" i="11"/>
  <c r="J126" i="11"/>
  <c r="J127" i="11"/>
  <c r="J128" i="11"/>
  <c r="J129" i="11"/>
  <c r="J130" i="11"/>
  <c r="J131" i="11"/>
  <c r="J132" i="11"/>
  <c r="J133" i="11"/>
  <c r="J134" i="11"/>
  <c r="J135" i="11"/>
  <c r="J136" i="11"/>
  <c r="J137" i="11"/>
  <c r="J138" i="11"/>
  <c r="J139" i="11"/>
  <c r="J140" i="11"/>
  <c r="J141" i="11"/>
  <c r="J142" i="11"/>
  <c r="J143" i="11"/>
  <c r="J144" i="11"/>
  <c r="J145" i="11"/>
  <c r="J146" i="11"/>
  <c r="J147" i="11"/>
  <c r="J148" i="11"/>
  <c r="J149" i="11"/>
  <c r="J150" i="11"/>
  <c r="J151" i="11"/>
  <c r="J152" i="11"/>
  <c r="J153" i="11"/>
  <c r="J154" i="11"/>
  <c r="J155" i="11"/>
  <c r="J156" i="11"/>
  <c r="J157" i="11"/>
  <c r="J158" i="11"/>
  <c r="J159" i="11"/>
  <c r="J160" i="11"/>
  <c r="J161" i="11"/>
  <c r="J162" i="11"/>
  <c r="J163" i="11"/>
  <c r="J164" i="11"/>
  <c r="J165" i="11"/>
  <c r="J166" i="11"/>
  <c r="J167" i="11"/>
  <c r="J168" i="11"/>
  <c r="J169" i="11"/>
  <c r="J170" i="11"/>
  <c r="J171" i="11"/>
  <c r="J172" i="11"/>
  <c r="J173" i="11"/>
  <c r="J174" i="11"/>
  <c r="J175" i="11"/>
  <c r="J176" i="11"/>
  <c r="J177" i="11"/>
  <c r="J178" i="11"/>
  <c r="J179" i="11"/>
  <c r="J180" i="11"/>
  <c r="J181" i="11"/>
  <c r="J182" i="11"/>
  <c r="J183" i="11"/>
  <c r="J184" i="11"/>
  <c r="J185" i="11"/>
  <c r="J186" i="11"/>
  <c r="J187" i="11"/>
  <c r="J188" i="11"/>
  <c r="J189" i="11"/>
  <c r="J190" i="11"/>
  <c r="J191" i="11"/>
  <c r="J192" i="11"/>
  <c r="J193" i="11"/>
  <c r="J194" i="11"/>
  <c r="J195" i="11"/>
  <c r="J196" i="11"/>
  <c r="J197" i="11"/>
  <c r="J198" i="11"/>
  <c r="J199" i="11"/>
  <c r="J200" i="11"/>
  <c r="J201" i="11"/>
  <c r="J202" i="11"/>
  <c r="J203" i="11"/>
  <c r="J204" i="11"/>
  <c r="J205" i="11"/>
  <c r="J206" i="11"/>
  <c r="J207" i="11"/>
  <c r="J208" i="11"/>
  <c r="J209" i="11"/>
  <c r="J210" i="11"/>
  <c r="J211" i="11"/>
  <c r="J212" i="11"/>
  <c r="J213" i="11"/>
  <c r="J214" i="11"/>
  <c r="J215" i="11"/>
  <c r="J216" i="11"/>
  <c r="J217" i="11"/>
  <c r="J218" i="11"/>
  <c r="J219" i="11"/>
  <c r="J220" i="11"/>
  <c r="J221" i="11"/>
  <c r="J222" i="11"/>
  <c r="J223" i="11"/>
  <c r="J224" i="11"/>
  <c r="J225" i="11"/>
  <c r="J226" i="11"/>
  <c r="J227" i="11"/>
  <c r="J228" i="11"/>
  <c r="J229" i="11"/>
  <c r="J230" i="11"/>
  <c r="J231" i="11"/>
  <c r="J232" i="11"/>
  <c r="J233" i="11"/>
  <c r="J234" i="11"/>
  <c r="J235" i="11"/>
  <c r="J236" i="11"/>
  <c r="J237" i="11"/>
  <c r="J238" i="11"/>
  <c r="J239" i="11"/>
  <c r="J240" i="11"/>
  <c r="J241" i="11"/>
  <c r="J242" i="11"/>
  <c r="J243" i="11"/>
  <c r="J244" i="11"/>
  <c r="J245" i="11"/>
  <c r="J246" i="11"/>
  <c r="J247" i="11"/>
  <c r="J248" i="11"/>
  <c r="J249" i="11"/>
  <c r="J250" i="11"/>
  <c r="J251" i="11"/>
  <c r="J252" i="11"/>
  <c r="J253" i="11"/>
  <c r="J254" i="11"/>
  <c r="J255" i="11"/>
  <c r="J256" i="11"/>
  <c r="J257" i="11"/>
  <c r="J258" i="11"/>
  <c r="J259" i="11"/>
  <c r="J260" i="11"/>
  <c r="J261" i="11"/>
  <c r="J262" i="11"/>
  <c r="J263" i="11"/>
  <c r="J264" i="11"/>
  <c r="J265" i="11"/>
  <c r="J266" i="11"/>
  <c r="J267" i="11"/>
  <c r="J268" i="11"/>
  <c r="J269" i="11"/>
  <c r="J270" i="11"/>
  <c r="J271" i="11"/>
  <c r="J272" i="11"/>
  <c r="J273" i="11"/>
  <c r="J274" i="11"/>
  <c r="J275" i="11"/>
  <c r="J276" i="11"/>
  <c r="J277" i="11"/>
  <c r="J278" i="11"/>
  <c r="J279" i="11"/>
  <c r="J280" i="11"/>
  <c r="J281" i="11"/>
  <c r="J282" i="11"/>
  <c r="J283" i="11"/>
  <c r="J284" i="11"/>
  <c r="J285" i="11"/>
  <c r="J286" i="11"/>
  <c r="J287" i="11"/>
  <c r="J288" i="11"/>
  <c r="J289" i="11"/>
  <c r="J290" i="11"/>
  <c r="J291" i="11"/>
  <c r="J292" i="11"/>
  <c r="J293" i="11"/>
  <c r="J294" i="11"/>
  <c r="J295" i="11"/>
  <c r="J296" i="11"/>
  <c r="J297" i="11"/>
  <c r="J298" i="11"/>
  <c r="J299" i="11"/>
  <c r="J300" i="11"/>
  <c r="J301" i="11"/>
  <c r="J302" i="11"/>
  <c r="J303" i="11"/>
  <c r="J304" i="11"/>
  <c r="J305" i="11"/>
  <c r="J306" i="11"/>
  <c r="J307" i="11"/>
  <c r="J308" i="11"/>
  <c r="J309" i="11"/>
  <c r="J310" i="11"/>
  <c r="J311" i="11"/>
  <c r="J312" i="11"/>
  <c r="J313" i="11"/>
  <c r="J314" i="11"/>
  <c r="J315" i="11"/>
  <c r="J316" i="11"/>
  <c r="J317" i="11"/>
  <c r="J318" i="11"/>
  <c r="J319" i="11"/>
  <c r="J320" i="11"/>
  <c r="J321" i="11"/>
  <c r="J322" i="11"/>
  <c r="J323" i="11"/>
  <c r="J324" i="11"/>
  <c r="J325" i="11"/>
  <c r="J326" i="11"/>
  <c r="J327" i="11"/>
  <c r="J328" i="11"/>
  <c r="J329" i="11"/>
  <c r="J330" i="11"/>
  <c r="J331" i="11"/>
  <c r="J332" i="11"/>
  <c r="J333" i="11"/>
  <c r="J334" i="11"/>
  <c r="J335" i="11"/>
  <c r="J336" i="11"/>
  <c r="J337" i="11"/>
  <c r="J338" i="11"/>
  <c r="J339" i="11"/>
  <c r="J340" i="11"/>
  <c r="J341" i="11"/>
  <c r="J342" i="11"/>
  <c r="J343" i="11"/>
  <c r="J344" i="11"/>
  <c r="J345" i="11"/>
  <c r="J346" i="11"/>
  <c r="J347" i="11"/>
  <c r="J348" i="11"/>
  <c r="J349" i="11"/>
  <c r="J350" i="11"/>
  <c r="J351" i="11"/>
  <c r="J352" i="11"/>
  <c r="J353" i="11"/>
  <c r="J354" i="11"/>
  <c r="J355" i="11"/>
  <c r="J356" i="11"/>
  <c r="J357" i="11"/>
  <c r="J358" i="11"/>
  <c r="J359" i="11"/>
  <c r="J360" i="11"/>
  <c r="J361" i="11"/>
  <c r="J362" i="11"/>
  <c r="J363" i="11"/>
  <c r="J364" i="11"/>
  <c r="J365" i="11"/>
  <c r="J366" i="11"/>
  <c r="J367" i="11"/>
  <c r="J368" i="11"/>
  <c r="J369" i="11"/>
  <c r="J370" i="11"/>
  <c r="J371" i="11"/>
  <c r="J372" i="11"/>
  <c r="J373" i="11"/>
  <c r="J374" i="11"/>
  <c r="J375" i="11"/>
  <c r="J376" i="11"/>
  <c r="J377" i="11"/>
  <c r="J378" i="11"/>
  <c r="J379" i="11"/>
  <c r="J380" i="11"/>
  <c r="J381" i="11"/>
  <c r="J382" i="11"/>
  <c r="J383" i="11"/>
  <c r="J384" i="11"/>
  <c r="J385" i="11"/>
  <c r="J386" i="11"/>
  <c r="J387" i="11"/>
  <c r="J388" i="11"/>
  <c r="J389" i="11"/>
  <c r="J390" i="11"/>
  <c r="J391" i="11"/>
  <c r="J392" i="11"/>
  <c r="J393" i="11"/>
  <c r="J394" i="11"/>
  <c r="J395" i="11"/>
  <c r="J396" i="11"/>
  <c r="J397" i="11"/>
  <c r="J398" i="11"/>
  <c r="J399" i="11"/>
  <c r="J400" i="11"/>
  <c r="J401" i="11"/>
  <c r="J402" i="11"/>
  <c r="J403" i="11"/>
  <c r="J404" i="11"/>
  <c r="J405" i="11"/>
  <c r="J406" i="11"/>
  <c r="J407" i="11"/>
  <c r="J408" i="11"/>
  <c r="J409" i="11"/>
  <c r="J410" i="11"/>
  <c r="J411" i="11"/>
  <c r="J412" i="11"/>
  <c r="J413" i="11"/>
  <c r="J414" i="11"/>
  <c r="J415" i="11"/>
  <c r="J416" i="11"/>
  <c r="J417" i="11"/>
  <c r="J418" i="11"/>
  <c r="J419" i="11"/>
  <c r="J420" i="11"/>
  <c r="J421" i="11"/>
  <c r="J422" i="11"/>
  <c r="J423" i="11"/>
  <c r="J424" i="11"/>
  <c r="J425" i="11"/>
  <c r="J426" i="11"/>
  <c r="J427" i="11"/>
  <c r="J428" i="11"/>
  <c r="J429" i="11"/>
  <c r="J430" i="11"/>
  <c r="J431" i="11"/>
  <c r="J432" i="11"/>
  <c r="J433" i="11"/>
  <c r="J434" i="11"/>
  <c r="J435" i="11"/>
  <c r="J436" i="11"/>
  <c r="J437" i="11"/>
  <c r="J438" i="11"/>
  <c r="J439" i="11"/>
  <c r="J440" i="11"/>
  <c r="J441" i="11"/>
  <c r="J442" i="11"/>
  <c r="J443" i="11"/>
  <c r="J444" i="11"/>
  <c r="J445" i="11"/>
  <c r="J446" i="11"/>
  <c r="J447" i="11"/>
  <c r="J448" i="11"/>
  <c r="J449" i="11"/>
  <c r="J450" i="11"/>
  <c r="B59" i="9"/>
  <c r="H23" i="11" l="1"/>
  <c r="V25" i="11"/>
  <c r="S25" i="11"/>
  <c r="P25" i="11"/>
  <c r="M25" i="11"/>
  <c r="J25" i="11"/>
  <c r="I16" i="11" l="1"/>
  <c r="N22" i="11" l="1"/>
  <c r="B12" i="26" l="1"/>
  <c r="H111" i="5" l="1"/>
  <c r="G111" i="5"/>
  <c r="C119" i="5" l="1"/>
  <c r="D119" i="5"/>
  <c r="D15" i="3" s="1"/>
  <c r="E119" i="5" l="1"/>
  <c r="H42" i="24"/>
  <c r="G42" i="24"/>
  <c r="CC15" i="26" l="1"/>
  <c r="E65413" i="26"/>
  <c r="E65412" i="26"/>
  <c r="E65411" i="26"/>
  <c r="E65410" i="26"/>
  <c r="E65409" i="26"/>
  <c r="E65408" i="26"/>
  <c r="E65407" i="26"/>
  <c r="E65406" i="26"/>
  <c r="E65405" i="26"/>
  <c r="E65404" i="26"/>
  <c r="E65403" i="26"/>
  <c r="E65402" i="26"/>
  <c r="E65401" i="26"/>
  <c r="E65400" i="26"/>
  <c r="E65399" i="26"/>
  <c r="E65398" i="26"/>
  <c r="E65397" i="26"/>
  <c r="E65396" i="26"/>
  <c r="E65395" i="26"/>
  <c r="E65394" i="26"/>
  <c r="E65393" i="26"/>
  <c r="E65392" i="26"/>
  <c r="E65391" i="26"/>
  <c r="E65390" i="26"/>
  <c r="E65389" i="26"/>
  <c r="E65388" i="26"/>
  <c r="E65387" i="26"/>
  <c r="E65386" i="26"/>
  <c r="E65385" i="26"/>
  <c r="E65384" i="26"/>
  <c r="E65383" i="26"/>
  <c r="E65382" i="26"/>
  <c r="E65381" i="26"/>
  <c r="E65380" i="26"/>
  <c r="H98" i="26"/>
  <c r="H97" i="26" s="1"/>
  <c r="G98" i="26"/>
  <c r="G97" i="26" s="1"/>
  <c r="F98" i="26"/>
  <c r="F97" i="26" s="1"/>
  <c r="Q96" i="26"/>
  <c r="O96" i="26"/>
  <c r="CG15" i="26" l="1"/>
  <c r="H15" i="26"/>
  <c r="CJ15" i="26"/>
  <c r="AR15" i="26"/>
  <c r="I15" i="26"/>
  <c r="L15" i="26"/>
  <c r="M15" i="26"/>
  <c r="CR15" i="26"/>
  <c r="AS15" i="26"/>
  <c r="BA15" i="26"/>
  <c r="BD15" i="26"/>
  <c r="CS15" i="26"/>
  <c r="P15" i="26"/>
  <c r="BE15" i="26"/>
  <c r="CV15" i="26"/>
  <c r="CY15" i="26"/>
  <c r="AB15" i="26"/>
  <c r="CF15" i="26"/>
  <c r="Q15" i="26"/>
  <c r="AV15" i="26"/>
  <c r="BH15" i="26"/>
  <c r="CK15" i="26"/>
  <c r="T15" i="26"/>
  <c r="AW15" i="26"/>
  <c r="BM15" i="26"/>
  <c r="CN15" i="26"/>
  <c r="Y15" i="26"/>
  <c r="AZ15" i="26"/>
  <c r="BP15" i="26"/>
  <c r="CO15" i="26"/>
  <c r="U15" i="26"/>
  <c r="BI15" i="26"/>
  <c r="CW15" i="26"/>
  <c r="X15" i="26"/>
  <c r="BL15" i="26"/>
  <c r="BQ15" i="26"/>
  <c r="AF15" i="26"/>
  <c r="BT15" i="26"/>
  <c r="AJ15" i="26"/>
  <c r="BX15" i="26"/>
  <c r="E15" i="26"/>
  <c r="AC15" i="26"/>
  <c r="BU15" i="26"/>
  <c r="BY15" i="26"/>
  <c r="F15" i="26"/>
  <c r="AN15" i="26"/>
  <c r="CB15" i="26"/>
  <c r="AG15" i="26"/>
  <c r="AK15" i="26"/>
  <c r="AO15" i="26"/>
  <c r="J15" i="26"/>
  <c r="N15" i="26"/>
  <c r="R15" i="26"/>
  <c r="V15" i="26"/>
  <c r="Z15" i="26"/>
  <c r="AD15" i="26"/>
  <c r="AH15" i="26"/>
  <c r="AL15" i="26"/>
  <c r="AP15" i="26"/>
  <c r="AT15" i="26"/>
  <c r="AX15" i="26"/>
  <c r="BB15" i="26"/>
  <c r="BF15" i="26"/>
  <c r="BJ15" i="26"/>
  <c r="BN15" i="26"/>
  <c r="BR15" i="26"/>
  <c r="BV15" i="26"/>
  <c r="BZ15" i="26"/>
  <c r="CD15" i="26"/>
  <c r="CH15" i="26"/>
  <c r="CL15" i="26"/>
  <c r="CP15" i="26"/>
  <c r="CT15" i="26"/>
  <c r="CX15" i="26"/>
  <c r="G15" i="26"/>
  <c r="K15" i="26"/>
  <c r="O15" i="26"/>
  <c r="S15" i="26"/>
  <c r="W15" i="26"/>
  <c r="AA15" i="26"/>
  <c r="AE15" i="26"/>
  <c r="AI15" i="26"/>
  <c r="AM15" i="26"/>
  <c r="AQ15" i="26"/>
  <c r="AU15" i="26"/>
  <c r="AY15" i="26"/>
  <c r="BC15" i="26"/>
  <c r="BG15" i="26"/>
  <c r="BK15" i="26"/>
  <c r="BO15" i="26"/>
  <c r="BS15" i="26"/>
  <c r="BW15" i="26"/>
  <c r="CA15" i="26"/>
  <c r="CE15" i="26"/>
  <c r="CI15" i="26"/>
  <c r="CM15" i="26"/>
  <c r="CQ15" i="26"/>
  <c r="CU15" i="26"/>
  <c r="G38" i="24"/>
  <c r="G40" i="24"/>
  <c r="CZ83" i="26" l="1"/>
  <c r="F19" i="24"/>
  <c r="F27" i="24"/>
  <c r="F23" i="24"/>
  <c r="C17" i="24"/>
  <c r="C23" i="24"/>
  <c r="F29" i="24" l="1"/>
  <c r="H9" i="7" l="1"/>
  <c r="F8" i="3" s="1"/>
  <c r="H8" i="7"/>
  <c r="C7" i="3" s="1"/>
  <c r="B5" i="26" s="1"/>
  <c r="H7" i="7"/>
  <c r="F6" i="3" s="1"/>
  <c r="B6" i="26" s="1"/>
  <c r="C9" i="7"/>
  <c r="C8" i="3" s="1"/>
  <c r="C8" i="7"/>
  <c r="B5" i="5" s="1"/>
  <c r="C6" i="3" s="1"/>
  <c r="B4" i="26" s="1"/>
  <c r="C7" i="7"/>
  <c r="B4" i="5" s="1"/>
  <c r="C4" i="24"/>
  <c r="C6" i="7" s="1"/>
  <c r="B3" i="5" s="1"/>
  <c r="H22" i="9" l="1"/>
  <c r="B22" i="9"/>
  <c r="I9" i="17" l="1"/>
  <c r="I8" i="17"/>
  <c r="I7" i="17"/>
  <c r="B9" i="17"/>
  <c r="B8" i="17"/>
  <c r="F8" i="11"/>
  <c r="F7" i="11"/>
  <c r="C9" i="11"/>
  <c r="C8" i="11"/>
  <c r="G11" i="14"/>
  <c r="G10" i="14"/>
  <c r="G9" i="14"/>
  <c r="C11" i="14"/>
  <c r="C10" i="14"/>
  <c r="F10" i="10"/>
  <c r="F9" i="10"/>
  <c r="B11" i="10"/>
  <c r="B10" i="10"/>
  <c r="F10" i="19"/>
  <c r="F9" i="19"/>
  <c r="F8" i="19"/>
  <c r="B10" i="19"/>
  <c r="B9" i="19"/>
  <c r="B7" i="13"/>
  <c r="H7" i="13"/>
  <c r="H6" i="13"/>
  <c r="E6" i="12"/>
  <c r="E5" i="12"/>
  <c r="B6" i="12"/>
  <c r="C7" i="9"/>
  <c r="G7" i="9"/>
  <c r="G6" i="9"/>
  <c r="H9" i="8"/>
  <c r="H8" i="8"/>
  <c r="H7" i="8"/>
  <c r="C9" i="8"/>
  <c r="C8" i="8"/>
  <c r="B7" i="17"/>
  <c r="C71" i="14" l="1"/>
  <c r="V18" i="11" l="1"/>
  <c r="U18" i="11"/>
  <c r="T18" i="11"/>
  <c r="S18" i="11"/>
  <c r="P18" i="11"/>
  <c r="Q18" i="11" s="1"/>
  <c r="P19" i="11" l="1"/>
  <c r="Q19" i="11" s="1"/>
  <c r="H11" i="11" l="1"/>
  <c r="E12" i="11"/>
  <c r="E11" i="11"/>
  <c r="T25" i="11"/>
  <c r="H22" i="11"/>
  <c r="R21" i="11" l="1"/>
  <c r="O21" i="11"/>
  <c r="L21" i="11"/>
  <c r="D31" i="14"/>
  <c r="K31" i="14" s="1"/>
  <c r="F76" i="10"/>
  <c r="F77" i="10"/>
  <c r="F78" i="10"/>
  <c r="F79" i="10"/>
  <c r="F80" i="10"/>
  <c r="F81" i="10"/>
  <c r="F75" i="10"/>
  <c r="F41" i="23" l="1"/>
  <c r="F42" i="23"/>
  <c r="F43" i="23"/>
  <c r="F44" i="23"/>
  <c r="F45" i="23"/>
  <c r="F46" i="23"/>
  <c r="F47" i="23"/>
  <c r="F48" i="23"/>
  <c r="F49" i="23"/>
  <c r="F50" i="23"/>
  <c r="F51" i="23"/>
  <c r="F52" i="23"/>
  <c r="F53" i="23"/>
  <c r="F54" i="23"/>
  <c r="F55" i="23"/>
  <c r="F56" i="23"/>
  <c r="F57" i="23"/>
  <c r="F58" i="23"/>
  <c r="F59" i="23"/>
  <c r="F60" i="23"/>
  <c r="F61" i="23"/>
  <c r="F62" i="23"/>
  <c r="F63" i="23"/>
  <c r="F64" i="23"/>
  <c r="F40" i="23"/>
  <c r="D40" i="23"/>
  <c r="D71" i="14" l="1"/>
  <c r="M18" i="19"/>
  <c r="AQ5" i="15" l="1"/>
  <c r="AQ6" i="15"/>
  <c r="AQ7" i="15"/>
  <c r="AQ8" i="15"/>
  <c r="AQ9" i="15"/>
  <c r="AQ10" i="15"/>
  <c r="AQ11" i="15"/>
  <c r="AQ12" i="15"/>
  <c r="AQ13" i="15"/>
  <c r="AQ14" i="15"/>
  <c r="AQ15" i="15"/>
  <c r="AQ16" i="15"/>
  <c r="AQ17" i="15"/>
  <c r="AQ18" i="15"/>
  <c r="AQ19" i="15"/>
  <c r="AQ20" i="15"/>
  <c r="AQ21" i="15"/>
  <c r="AQ22" i="15"/>
  <c r="AQ23" i="15"/>
  <c r="AQ24" i="15"/>
  <c r="AQ25" i="15"/>
  <c r="AQ26" i="15"/>
  <c r="AQ27" i="15"/>
  <c r="AQ28" i="15"/>
  <c r="AQ29" i="15"/>
  <c r="AQ30" i="15"/>
  <c r="AQ31" i="15"/>
  <c r="AQ32" i="15"/>
  <c r="AQ33" i="15"/>
  <c r="AQ34" i="15"/>
  <c r="AQ35" i="15"/>
  <c r="AQ36" i="15"/>
  <c r="AQ37" i="15"/>
  <c r="AQ38" i="15"/>
  <c r="AQ39" i="15"/>
  <c r="AQ40" i="15"/>
  <c r="AQ41" i="15"/>
  <c r="AQ42" i="15"/>
  <c r="AQ43" i="15"/>
  <c r="AQ44" i="15"/>
  <c r="AQ45" i="15"/>
  <c r="AQ46" i="15"/>
  <c r="AQ47" i="15"/>
  <c r="AQ48" i="15"/>
  <c r="AQ49" i="15"/>
  <c r="AQ50" i="15"/>
  <c r="AQ51" i="15"/>
  <c r="AQ52" i="15"/>
  <c r="AQ53" i="15"/>
  <c r="AQ54" i="15"/>
  <c r="AQ55" i="15"/>
  <c r="AQ56" i="15"/>
  <c r="AQ57" i="15"/>
  <c r="AQ58" i="15"/>
  <c r="AQ59" i="15"/>
  <c r="AQ60" i="15"/>
  <c r="AQ61" i="15"/>
  <c r="AQ62" i="15"/>
  <c r="AQ63" i="15"/>
  <c r="AQ64" i="15"/>
  <c r="AQ65" i="15"/>
  <c r="AQ66" i="15"/>
  <c r="AQ67" i="15"/>
  <c r="AQ68" i="15"/>
  <c r="AQ69" i="15"/>
  <c r="AQ70" i="15"/>
  <c r="AQ71" i="15"/>
  <c r="AQ72" i="15"/>
  <c r="AQ73" i="15"/>
  <c r="AQ74" i="15"/>
  <c r="AQ75" i="15"/>
  <c r="AQ76" i="15"/>
  <c r="AQ77" i="15"/>
  <c r="AQ4" i="15"/>
  <c r="AJ4" i="15"/>
  <c r="AJ70" i="15"/>
  <c r="E15" i="12"/>
  <c r="E14" i="12"/>
  <c r="I54" i="14"/>
  <c r="I70" i="14" l="1"/>
  <c r="H70" i="14"/>
  <c r="D28" i="14"/>
  <c r="D27" i="14"/>
  <c r="D30" i="14"/>
  <c r="E72" i="10"/>
  <c r="F72" i="10" s="1"/>
  <c r="A22" i="23" l="1"/>
  <c r="A19" i="23"/>
  <c r="A20" i="23"/>
  <c r="A21" i="23"/>
  <c r="F14" i="24" l="1"/>
  <c r="F35" i="23"/>
  <c r="F34" i="23"/>
  <c r="F33" i="23"/>
  <c r="F32" i="23"/>
  <c r="F31" i="23"/>
  <c r="F30" i="23"/>
  <c r="F29" i="23"/>
  <c r="F28" i="23"/>
  <c r="F27" i="23"/>
  <c r="F17" i="24" l="1"/>
  <c r="F12" i="24"/>
  <c r="C12" i="24"/>
  <c r="C5" i="3"/>
  <c r="B3" i="26" s="1"/>
  <c r="C7" i="11"/>
  <c r="C9" i="14"/>
  <c r="B9" i="10"/>
  <c r="B8" i="19"/>
  <c r="A18" i="19" s="1"/>
  <c r="B18" i="19" s="1"/>
  <c r="B5" i="13"/>
  <c r="B5" i="12"/>
  <c r="C6" i="9"/>
  <c r="C7" i="8"/>
  <c r="A38" i="23"/>
  <c r="A37" i="23"/>
  <c r="A36" i="23"/>
  <c r="A35" i="23"/>
  <c r="A34" i="23"/>
  <c r="A33" i="23"/>
  <c r="A32" i="23"/>
  <c r="A31" i="23"/>
  <c r="A30" i="23"/>
  <c r="A29" i="23"/>
  <c r="A28" i="23"/>
  <c r="A27" i="23"/>
  <c r="F18" i="23"/>
  <c r="A18" i="23"/>
  <c r="F17" i="23"/>
  <c r="A17" i="23"/>
  <c r="F16" i="23"/>
  <c r="A16" i="23"/>
  <c r="F15" i="23"/>
  <c r="A15" i="23"/>
  <c r="F14" i="23"/>
  <c r="A14" i="23"/>
  <c r="F13" i="23"/>
  <c r="A13" i="23"/>
  <c r="F12" i="23"/>
  <c r="A12" i="23"/>
  <c r="F11" i="23"/>
  <c r="A11" i="23"/>
  <c r="F10" i="23"/>
  <c r="A10" i="23"/>
  <c r="F9" i="23"/>
  <c r="A9" i="23"/>
  <c r="F8" i="23"/>
  <c r="A8" i="23"/>
  <c r="F7" i="23"/>
  <c r="A7" i="23"/>
  <c r="F6" i="23"/>
  <c r="A6" i="23"/>
  <c r="F5" i="23"/>
  <c r="A5" i="23"/>
  <c r="F4" i="23"/>
  <c r="A4" i="23"/>
  <c r="F3" i="23"/>
  <c r="A3" i="23"/>
  <c r="B6" i="17" l="1"/>
  <c r="A89" i="19"/>
  <c r="B89" i="19" s="1"/>
  <c r="A93" i="19"/>
  <c r="B93" i="19" s="1"/>
  <c r="A88" i="19"/>
  <c r="B88" i="19" s="1"/>
  <c r="A52" i="19"/>
  <c r="B52" i="19" s="1"/>
  <c r="A56" i="19"/>
  <c r="B56" i="19" s="1"/>
  <c r="A60" i="19"/>
  <c r="B60" i="19" s="1"/>
  <c r="A64" i="19"/>
  <c r="B64" i="19" s="1"/>
  <c r="A68" i="19"/>
  <c r="B68" i="19" s="1"/>
  <c r="A72" i="19"/>
  <c r="B72" i="19" s="1"/>
  <c r="A76" i="19"/>
  <c r="B76" i="19" s="1"/>
  <c r="A80" i="19"/>
  <c r="B80" i="19" s="1"/>
  <c r="A43" i="19"/>
  <c r="B43" i="19" s="1"/>
  <c r="A19" i="19"/>
  <c r="B19" i="19" s="1"/>
  <c r="A40" i="19"/>
  <c r="B40" i="19" s="1"/>
  <c r="A36" i="19"/>
  <c r="B36" i="19" s="1"/>
  <c r="A32" i="19"/>
  <c r="B32" i="19" s="1"/>
  <c r="A28" i="19"/>
  <c r="B28" i="19" s="1"/>
  <c r="A24" i="19"/>
  <c r="B24" i="19" s="1"/>
  <c r="A51" i="19"/>
  <c r="B51" i="19" s="1"/>
  <c r="A59" i="19"/>
  <c r="B59" i="19" s="1"/>
  <c r="A71" i="19"/>
  <c r="B71" i="19" s="1"/>
  <c r="A49" i="19"/>
  <c r="B49" i="19" s="1"/>
  <c r="A37" i="19"/>
  <c r="B37" i="19" s="1"/>
  <c r="A25" i="19"/>
  <c r="B25" i="19" s="1"/>
  <c r="A90" i="19"/>
  <c r="B90" i="19" s="1"/>
  <c r="A94" i="19"/>
  <c r="B94" i="19" s="1"/>
  <c r="A83" i="19"/>
  <c r="B83" i="19" s="1"/>
  <c r="A53" i="19"/>
  <c r="B53" i="19" s="1"/>
  <c r="A57" i="19"/>
  <c r="B57" i="19" s="1"/>
  <c r="A61" i="19"/>
  <c r="B61" i="19" s="1"/>
  <c r="A65" i="19"/>
  <c r="B65" i="19" s="1"/>
  <c r="A69" i="19"/>
  <c r="B69" i="19" s="1"/>
  <c r="A73" i="19"/>
  <c r="B73" i="19" s="1"/>
  <c r="A77" i="19"/>
  <c r="B77" i="19" s="1"/>
  <c r="A81" i="19"/>
  <c r="B81" i="19" s="1"/>
  <c r="A39" i="19"/>
  <c r="B39" i="19" s="1"/>
  <c r="A35" i="19"/>
  <c r="B35" i="19" s="1"/>
  <c r="A31" i="19"/>
  <c r="B31" i="19" s="1"/>
  <c r="A27" i="19"/>
  <c r="B27" i="19" s="1"/>
  <c r="A23" i="19"/>
  <c r="B23" i="19" s="1"/>
  <c r="A96" i="19"/>
  <c r="B96" i="19" s="1"/>
  <c r="A55" i="19"/>
  <c r="B55" i="19" s="1"/>
  <c r="A63" i="19"/>
  <c r="B63" i="19" s="1"/>
  <c r="A75" i="19"/>
  <c r="B75" i="19" s="1"/>
  <c r="A20" i="19"/>
  <c r="B20" i="19" s="1"/>
  <c r="A33" i="19"/>
  <c r="B33" i="19" s="1"/>
  <c r="A21" i="19"/>
  <c r="B21" i="19" s="1"/>
  <c r="A91" i="19"/>
  <c r="B91" i="19" s="1"/>
  <c r="A95" i="19"/>
  <c r="B95" i="19" s="1"/>
  <c r="A50" i="19"/>
  <c r="B50" i="19" s="1"/>
  <c r="A54" i="19"/>
  <c r="B54" i="19" s="1"/>
  <c r="A58" i="19"/>
  <c r="B58" i="19" s="1"/>
  <c r="A62" i="19"/>
  <c r="B62" i="19" s="1"/>
  <c r="A66" i="19"/>
  <c r="B66" i="19" s="1"/>
  <c r="A70" i="19"/>
  <c r="B70" i="19" s="1"/>
  <c r="A74" i="19"/>
  <c r="B74" i="19" s="1"/>
  <c r="A78" i="19"/>
  <c r="B78" i="19" s="1"/>
  <c r="A82" i="19"/>
  <c r="B82" i="19" s="1"/>
  <c r="A42" i="19"/>
  <c r="B42" i="19" s="1"/>
  <c r="A38" i="19"/>
  <c r="B38" i="19" s="1"/>
  <c r="A34" i="19"/>
  <c r="B34" i="19" s="1"/>
  <c r="A30" i="19"/>
  <c r="B30" i="19" s="1"/>
  <c r="A26" i="19"/>
  <c r="B26" i="19" s="1"/>
  <c r="A22" i="19"/>
  <c r="B22" i="19" s="1"/>
  <c r="A92" i="19"/>
  <c r="B92" i="19" s="1"/>
  <c r="A67" i="19"/>
  <c r="B67" i="19" s="1"/>
  <c r="A79" i="19"/>
  <c r="B79" i="19" s="1"/>
  <c r="A41" i="19"/>
  <c r="B41" i="19" s="1"/>
  <c r="A29" i="19"/>
  <c r="B29" i="19" s="1"/>
  <c r="C33" i="24"/>
  <c r="F21" i="24"/>
  <c r="F16" i="24"/>
  <c r="B7" i="19"/>
  <c r="C4" i="3"/>
  <c r="C6" i="8"/>
  <c r="C5" i="9"/>
  <c r="C8" i="14"/>
  <c r="F31" i="24" l="1"/>
  <c r="J39" i="14"/>
  <c r="J38" i="14"/>
  <c r="J42" i="14"/>
  <c r="N23" i="11" l="1"/>
  <c r="S22" i="11" l="1"/>
  <c r="I19" i="11"/>
  <c r="L25" i="17" l="1"/>
  <c r="L26" i="17"/>
  <c r="L28" i="17"/>
  <c r="L29" i="17"/>
  <c r="L30" i="17"/>
  <c r="L31" i="17"/>
  <c r="L32" i="17"/>
  <c r="L33" i="17"/>
  <c r="L34" i="17"/>
  <c r="L35" i="17"/>
  <c r="L36" i="17"/>
  <c r="L39" i="17"/>
  <c r="L40" i="17"/>
  <c r="L41" i="17"/>
  <c r="L42" i="17"/>
  <c r="L43" i="17"/>
  <c r="L44" i="17"/>
  <c r="H12" i="11" l="1"/>
  <c r="V22" i="11"/>
  <c r="U23" i="11"/>
  <c r="T23" i="11"/>
  <c r="T22" i="11"/>
  <c r="R23" i="11"/>
  <c r="Q23" i="11"/>
  <c r="O23" i="11"/>
  <c r="Q22" i="11"/>
  <c r="L19" i="11"/>
  <c r="J22" i="11"/>
  <c r="I23" i="11"/>
  <c r="E16" i="11"/>
  <c r="D16" i="11"/>
  <c r="C16" i="11"/>
  <c r="B16" i="11"/>
  <c r="A37" i="20"/>
  <c r="A36" i="20"/>
  <c r="A35" i="20"/>
  <c r="A34" i="20"/>
  <c r="A33" i="20"/>
  <c r="A32" i="20"/>
  <c r="A31" i="20"/>
  <c r="A30" i="20"/>
  <c r="A29" i="20"/>
  <c r="A28" i="20"/>
  <c r="A27" i="20"/>
  <c r="A26" i="20"/>
  <c r="F18" i="20"/>
  <c r="A18" i="20"/>
  <c r="F17" i="20"/>
  <c r="A17" i="20"/>
  <c r="F16" i="20"/>
  <c r="A16" i="20"/>
  <c r="F15" i="20"/>
  <c r="A15" i="20"/>
  <c r="F14" i="20"/>
  <c r="A14" i="20"/>
  <c r="F13" i="20"/>
  <c r="A13" i="20"/>
  <c r="F12" i="20"/>
  <c r="A12" i="20"/>
  <c r="F11" i="20"/>
  <c r="A11" i="20"/>
  <c r="F10" i="20"/>
  <c r="A10" i="20"/>
  <c r="F9" i="20"/>
  <c r="A9" i="20"/>
  <c r="F8" i="20"/>
  <c r="A8" i="20"/>
  <c r="F7" i="20"/>
  <c r="A7" i="20"/>
  <c r="F6" i="20"/>
  <c r="A6" i="20"/>
  <c r="F5" i="20"/>
  <c r="A5" i="20"/>
  <c r="F4" i="20"/>
  <c r="A4" i="20"/>
  <c r="F3" i="20"/>
  <c r="A3" i="20"/>
  <c r="AT99" i="19"/>
  <c r="AT96" i="19"/>
  <c r="Q96" i="19"/>
  <c r="O96" i="19"/>
  <c r="M96" i="19"/>
  <c r="G96" i="19"/>
  <c r="F96" i="19"/>
  <c r="D96" i="19"/>
  <c r="Q95" i="19"/>
  <c r="O95" i="19"/>
  <c r="M95" i="19"/>
  <c r="C49" i="10" s="1"/>
  <c r="D49" i="10" s="1"/>
  <c r="G95" i="19"/>
  <c r="H95" i="19" s="1"/>
  <c r="F95" i="19"/>
  <c r="D95" i="19"/>
  <c r="Q94" i="19"/>
  <c r="O94" i="19"/>
  <c r="M94" i="19"/>
  <c r="C48" i="10" s="1"/>
  <c r="D48" i="10" s="1"/>
  <c r="G94" i="19"/>
  <c r="H94" i="19" s="1"/>
  <c r="F94" i="19"/>
  <c r="D94" i="19"/>
  <c r="Q93" i="19"/>
  <c r="O93" i="19"/>
  <c r="M93" i="19"/>
  <c r="C46" i="10" s="1"/>
  <c r="D46" i="10" s="1"/>
  <c r="G93" i="19"/>
  <c r="H93" i="19" s="1"/>
  <c r="F93" i="19"/>
  <c r="D93" i="19"/>
  <c r="Q92" i="19"/>
  <c r="O92" i="19"/>
  <c r="M92" i="19"/>
  <c r="C47" i="10" s="1"/>
  <c r="D47" i="10" s="1"/>
  <c r="G92" i="19"/>
  <c r="H92" i="19" s="1"/>
  <c r="F92" i="19"/>
  <c r="D92" i="19"/>
  <c r="Q91" i="19"/>
  <c r="O91" i="19"/>
  <c r="M91" i="19"/>
  <c r="C45" i="10" s="1"/>
  <c r="D45" i="10" s="1"/>
  <c r="G91" i="19"/>
  <c r="H91" i="19" s="1"/>
  <c r="F91" i="19"/>
  <c r="D91" i="19"/>
  <c r="Q90" i="19"/>
  <c r="O90" i="19"/>
  <c r="M90" i="19"/>
  <c r="G90" i="19"/>
  <c r="H90" i="19" s="1"/>
  <c r="F90" i="19"/>
  <c r="D90" i="19"/>
  <c r="Q89" i="19"/>
  <c r="O89" i="19"/>
  <c r="M89" i="19"/>
  <c r="G89" i="19"/>
  <c r="H89" i="19" s="1"/>
  <c r="F89" i="19"/>
  <c r="D89" i="19"/>
  <c r="Q88" i="19"/>
  <c r="O88" i="19"/>
  <c r="M88" i="19"/>
  <c r="G88" i="19"/>
  <c r="H88" i="19" s="1"/>
  <c r="F88" i="19"/>
  <c r="D88" i="19"/>
  <c r="Q83" i="19"/>
  <c r="O83" i="19"/>
  <c r="M83" i="19"/>
  <c r="G83" i="19"/>
  <c r="H83" i="19" s="1"/>
  <c r="F83" i="19"/>
  <c r="D83" i="19"/>
  <c r="Q82" i="19"/>
  <c r="O82" i="19"/>
  <c r="M82" i="19"/>
  <c r="G82" i="19"/>
  <c r="H82" i="19" s="1"/>
  <c r="F82" i="19"/>
  <c r="D82" i="19"/>
  <c r="Q81" i="19"/>
  <c r="O81" i="19"/>
  <c r="M81" i="19"/>
  <c r="G81" i="19"/>
  <c r="H81" i="19" s="1"/>
  <c r="F81" i="19"/>
  <c r="D81" i="19"/>
  <c r="Q80" i="19"/>
  <c r="O80" i="19"/>
  <c r="M80" i="19"/>
  <c r="G80" i="19"/>
  <c r="H80" i="19" s="1"/>
  <c r="F80" i="19"/>
  <c r="D80" i="19"/>
  <c r="Q79" i="19"/>
  <c r="O79" i="19"/>
  <c r="M79" i="19"/>
  <c r="G79" i="19"/>
  <c r="H79" i="19" s="1"/>
  <c r="F79" i="19"/>
  <c r="D79" i="19"/>
  <c r="Q78" i="19"/>
  <c r="O78" i="19"/>
  <c r="M78" i="19"/>
  <c r="G78" i="19"/>
  <c r="H78" i="19" s="1"/>
  <c r="F78" i="19"/>
  <c r="D78" i="19"/>
  <c r="Q77" i="19"/>
  <c r="O77" i="19"/>
  <c r="M77" i="19"/>
  <c r="G77" i="19"/>
  <c r="H77" i="19" s="1"/>
  <c r="F77" i="19"/>
  <c r="D77" i="19"/>
  <c r="Q76" i="19"/>
  <c r="O76" i="19"/>
  <c r="M76" i="19"/>
  <c r="G76" i="19"/>
  <c r="H76" i="19" s="1"/>
  <c r="F76" i="19"/>
  <c r="D76" i="19"/>
  <c r="Q75" i="19"/>
  <c r="O75" i="19"/>
  <c r="M75" i="19"/>
  <c r="G75" i="19"/>
  <c r="H75" i="19" s="1"/>
  <c r="F75" i="19"/>
  <c r="D75" i="19"/>
  <c r="Q74" i="19"/>
  <c r="O74" i="19"/>
  <c r="M74" i="19"/>
  <c r="G74" i="19"/>
  <c r="H74" i="19" s="1"/>
  <c r="F74" i="19"/>
  <c r="D74" i="19"/>
  <c r="Q73" i="19"/>
  <c r="O73" i="19"/>
  <c r="M73" i="19"/>
  <c r="G73" i="19"/>
  <c r="H73" i="19" s="1"/>
  <c r="F73" i="19"/>
  <c r="D73" i="19"/>
  <c r="Q72" i="19"/>
  <c r="O72" i="19"/>
  <c r="M72" i="19"/>
  <c r="G72" i="19"/>
  <c r="H72" i="19" s="1"/>
  <c r="F72" i="19"/>
  <c r="D72" i="19"/>
  <c r="Q71" i="19"/>
  <c r="O71" i="19"/>
  <c r="M71" i="19"/>
  <c r="G71" i="19"/>
  <c r="H71" i="19" s="1"/>
  <c r="F71" i="19"/>
  <c r="D71" i="19"/>
  <c r="Q70" i="19"/>
  <c r="O70" i="19"/>
  <c r="M70" i="19"/>
  <c r="G70" i="19"/>
  <c r="H70" i="19" s="1"/>
  <c r="F70" i="19"/>
  <c r="D70" i="19"/>
  <c r="Q69" i="19"/>
  <c r="O69" i="19"/>
  <c r="M69" i="19"/>
  <c r="G69" i="19"/>
  <c r="H69" i="19" s="1"/>
  <c r="F69" i="19"/>
  <c r="D69" i="19"/>
  <c r="Q68" i="19"/>
  <c r="O68" i="19"/>
  <c r="M68" i="19"/>
  <c r="G68" i="19"/>
  <c r="H68" i="19" s="1"/>
  <c r="F68" i="19"/>
  <c r="D68" i="19"/>
  <c r="Q67" i="19"/>
  <c r="O67" i="19"/>
  <c r="M67" i="19"/>
  <c r="G67" i="19"/>
  <c r="H67" i="19" s="1"/>
  <c r="F67" i="19"/>
  <c r="D67" i="19"/>
  <c r="Q66" i="19"/>
  <c r="O66" i="19"/>
  <c r="M66" i="19"/>
  <c r="G66" i="19"/>
  <c r="H66" i="19" s="1"/>
  <c r="F66" i="19"/>
  <c r="D66" i="19"/>
  <c r="Q65" i="19"/>
  <c r="O65" i="19"/>
  <c r="M65" i="19"/>
  <c r="G65" i="19"/>
  <c r="H65" i="19" s="1"/>
  <c r="F65" i="19"/>
  <c r="D65" i="19"/>
  <c r="Q64" i="19"/>
  <c r="O64" i="19"/>
  <c r="M64" i="19"/>
  <c r="G64" i="19"/>
  <c r="H64" i="19" s="1"/>
  <c r="F64" i="19"/>
  <c r="D64" i="19"/>
  <c r="Q63" i="19"/>
  <c r="O63" i="19"/>
  <c r="M63" i="19"/>
  <c r="G63" i="19"/>
  <c r="H63" i="19" s="1"/>
  <c r="F63" i="19"/>
  <c r="D63" i="19"/>
  <c r="Q62" i="19"/>
  <c r="O62" i="19"/>
  <c r="M62" i="19"/>
  <c r="G62" i="19"/>
  <c r="H62" i="19" s="1"/>
  <c r="F62" i="19"/>
  <c r="D62" i="19"/>
  <c r="Q61" i="19"/>
  <c r="O61" i="19"/>
  <c r="M61" i="19"/>
  <c r="G61" i="19"/>
  <c r="H61" i="19" s="1"/>
  <c r="F61" i="19"/>
  <c r="D61" i="19"/>
  <c r="Q60" i="19"/>
  <c r="O60" i="19"/>
  <c r="M60" i="19"/>
  <c r="G60" i="19"/>
  <c r="H60" i="19" s="1"/>
  <c r="F60" i="19"/>
  <c r="D60" i="19"/>
  <c r="Q59" i="19"/>
  <c r="O59" i="19"/>
  <c r="M59" i="19"/>
  <c r="G59" i="19"/>
  <c r="H59" i="19" s="1"/>
  <c r="F59" i="19"/>
  <c r="D59" i="19"/>
  <c r="Q58" i="19"/>
  <c r="O58" i="19"/>
  <c r="M58" i="19"/>
  <c r="G58" i="19"/>
  <c r="H58" i="19" s="1"/>
  <c r="F58" i="19"/>
  <c r="D58" i="19"/>
  <c r="Q57" i="19"/>
  <c r="O57" i="19"/>
  <c r="M57" i="19"/>
  <c r="G57" i="19"/>
  <c r="H57" i="19" s="1"/>
  <c r="F57" i="19"/>
  <c r="D57" i="19"/>
  <c r="Q56" i="19"/>
  <c r="O56" i="19"/>
  <c r="M56" i="19"/>
  <c r="G56" i="19"/>
  <c r="H56" i="19" s="1"/>
  <c r="F56" i="19"/>
  <c r="D56" i="19"/>
  <c r="Q55" i="19"/>
  <c r="O55" i="19"/>
  <c r="M55" i="19"/>
  <c r="G55" i="19"/>
  <c r="H55" i="19" s="1"/>
  <c r="F55" i="19"/>
  <c r="D55" i="19"/>
  <c r="Q54" i="19"/>
  <c r="O54" i="19"/>
  <c r="M54" i="19"/>
  <c r="G54" i="19"/>
  <c r="H54" i="19" s="1"/>
  <c r="F54" i="19"/>
  <c r="D54" i="19"/>
  <c r="Q53" i="19"/>
  <c r="O53" i="19"/>
  <c r="M53" i="19"/>
  <c r="G53" i="19"/>
  <c r="H53" i="19" s="1"/>
  <c r="F53" i="19"/>
  <c r="D53" i="19"/>
  <c r="Q52" i="19"/>
  <c r="O52" i="19"/>
  <c r="M52" i="19"/>
  <c r="G52" i="19"/>
  <c r="H52" i="19" s="1"/>
  <c r="F52" i="19"/>
  <c r="D52" i="19"/>
  <c r="Q51" i="19"/>
  <c r="O51" i="19"/>
  <c r="M51" i="19"/>
  <c r="G51" i="19"/>
  <c r="H51" i="19" s="1"/>
  <c r="F51" i="19"/>
  <c r="D51" i="19"/>
  <c r="Q50" i="19"/>
  <c r="O50" i="19"/>
  <c r="M50" i="19"/>
  <c r="G50" i="19"/>
  <c r="H50" i="19" s="1"/>
  <c r="F50" i="19"/>
  <c r="D50" i="19"/>
  <c r="Q49" i="19"/>
  <c r="O49" i="19"/>
  <c r="M49" i="19"/>
  <c r="G49" i="19"/>
  <c r="H49" i="19" s="1"/>
  <c r="F49" i="19"/>
  <c r="D49" i="19"/>
  <c r="AT44" i="19"/>
  <c r="O44" i="19"/>
  <c r="O43" i="19"/>
  <c r="M43" i="19"/>
  <c r="G43" i="19"/>
  <c r="H43" i="19" s="1"/>
  <c r="F43" i="19"/>
  <c r="D43" i="19"/>
  <c r="O42" i="19"/>
  <c r="M42" i="19"/>
  <c r="G42" i="19"/>
  <c r="H42" i="19" s="1"/>
  <c r="F42" i="19"/>
  <c r="D42" i="19"/>
  <c r="O41" i="19"/>
  <c r="M41" i="19"/>
  <c r="G41" i="19"/>
  <c r="H41" i="19" s="1"/>
  <c r="F41" i="19"/>
  <c r="D41" i="19"/>
  <c r="O40" i="19"/>
  <c r="M40" i="19"/>
  <c r="G40" i="19"/>
  <c r="H40" i="19" s="1"/>
  <c r="F40" i="19"/>
  <c r="D40" i="19"/>
  <c r="O39" i="19"/>
  <c r="M39" i="19"/>
  <c r="G39" i="19"/>
  <c r="H39" i="19" s="1"/>
  <c r="F39" i="19"/>
  <c r="D39" i="19"/>
  <c r="O38" i="19"/>
  <c r="M38" i="19"/>
  <c r="G38" i="19"/>
  <c r="H38" i="19" s="1"/>
  <c r="F38" i="19"/>
  <c r="D38" i="19"/>
  <c r="O37" i="19"/>
  <c r="M37" i="19"/>
  <c r="G37" i="19"/>
  <c r="H37" i="19" s="1"/>
  <c r="F37" i="19"/>
  <c r="D37" i="19"/>
  <c r="O36" i="19"/>
  <c r="M36" i="19"/>
  <c r="G36" i="19"/>
  <c r="H36" i="19" s="1"/>
  <c r="F36" i="19"/>
  <c r="D36" i="19"/>
  <c r="O35" i="19"/>
  <c r="M35" i="19"/>
  <c r="G35" i="19"/>
  <c r="H35" i="19" s="1"/>
  <c r="F35" i="19"/>
  <c r="D35" i="19"/>
  <c r="O34" i="19"/>
  <c r="M34" i="19"/>
  <c r="G34" i="19"/>
  <c r="H34" i="19" s="1"/>
  <c r="F34" i="19"/>
  <c r="D34" i="19"/>
  <c r="O33" i="19"/>
  <c r="M33" i="19"/>
  <c r="G33" i="19"/>
  <c r="H33" i="19" s="1"/>
  <c r="F33" i="19"/>
  <c r="D33" i="19"/>
  <c r="O32" i="19"/>
  <c r="M32" i="19"/>
  <c r="G32" i="19"/>
  <c r="H32" i="19" s="1"/>
  <c r="F32" i="19"/>
  <c r="D32" i="19"/>
  <c r="O31" i="19"/>
  <c r="M31" i="19"/>
  <c r="G31" i="19"/>
  <c r="H31" i="19" s="1"/>
  <c r="F31" i="19"/>
  <c r="D31" i="19"/>
  <c r="O30" i="19"/>
  <c r="M30" i="19"/>
  <c r="G30" i="19"/>
  <c r="H30" i="19" s="1"/>
  <c r="F30" i="19"/>
  <c r="D30" i="19"/>
  <c r="O29" i="19"/>
  <c r="M29" i="19"/>
  <c r="G29" i="19"/>
  <c r="H29" i="19" s="1"/>
  <c r="F29" i="19"/>
  <c r="D29" i="19"/>
  <c r="O28" i="19"/>
  <c r="M28" i="19"/>
  <c r="G28" i="19"/>
  <c r="H28" i="19" s="1"/>
  <c r="F28" i="19"/>
  <c r="D28" i="19"/>
  <c r="O27" i="19"/>
  <c r="M27" i="19"/>
  <c r="G27" i="19"/>
  <c r="H27" i="19" s="1"/>
  <c r="F27" i="19"/>
  <c r="D27" i="19"/>
  <c r="O26" i="19"/>
  <c r="M26" i="19"/>
  <c r="G26" i="19"/>
  <c r="H26" i="19" s="1"/>
  <c r="F26" i="19"/>
  <c r="D26" i="19"/>
  <c r="O25" i="19"/>
  <c r="M25" i="19"/>
  <c r="G25" i="19"/>
  <c r="H25" i="19" s="1"/>
  <c r="F25" i="19"/>
  <c r="D25" i="19"/>
  <c r="O24" i="19"/>
  <c r="M24" i="19"/>
  <c r="G24" i="19"/>
  <c r="H24" i="19" s="1"/>
  <c r="F24" i="19"/>
  <c r="D24" i="19"/>
  <c r="O23" i="19"/>
  <c r="M23" i="19"/>
  <c r="G23" i="19"/>
  <c r="H23" i="19" s="1"/>
  <c r="F23" i="19"/>
  <c r="D23" i="19"/>
  <c r="O22" i="19"/>
  <c r="M22" i="19"/>
  <c r="G22" i="19"/>
  <c r="H22" i="19" s="1"/>
  <c r="F22" i="19"/>
  <c r="D22" i="19"/>
  <c r="O21" i="19"/>
  <c r="M21" i="19"/>
  <c r="G21" i="19"/>
  <c r="H21" i="19" s="1"/>
  <c r="F21" i="19"/>
  <c r="D21" i="19"/>
  <c r="O20" i="19"/>
  <c r="M20" i="19"/>
  <c r="G20" i="19"/>
  <c r="H20" i="19" s="1"/>
  <c r="F20" i="19"/>
  <c r="D20" i="19"/>
  <c r="O19" i="19"/>
  <c r="M19" i="19"/>
  <c r="G19" i="19"/>
  <c r="H19" i="19" s="1"/>
  <c r="F19" i="19"/>
  <c r="D19" i="19"/>
  <c r="O18" i="19"/>
  <c r="G18" i="19"/>
  <c r="H18" i="19" s="1"/>
  <c r="F18" i="19"/>
  <c r="D18" i="19"/>
  <c r="AT24" i="19" l="1"/>
  <c r="AT34" i="19"/>
  <c r="AT40" i="19"/>
  <c r="AT27" i="19"/>
  <c r="AT37" i="19"/>
  <c r="AT21" i="19"/>
  <c r="AT43" i="19"/>
  <c r="AT41" i="19"/>
  <c r="AT25" i="19"/>
  <c r="AT32" i="19"/>
  <c r="AT26" i="19"/>
  <c r="AT29" i="19"/>
  <c r="AT33" i="19"/>
  <c r="AT35" i="19"/>
  <c r="AT42" i="19"/>
  <c r="AT52" i="19"/>
  <c r="AT64" i="19"/>
  <c r="AT68" i="19"/>
  <c r="AT80" i="19"/>
  <c r="AT92" i="19"/>
  <c r="AT55" i="19"/>
  <c r="AT59" i="19"/>
  <c r="AT71" i="19"/>
  <c r="AT30" i="19"/>
  <c r="AT38" i="19"/>
  <c r="AT50" i="19"/>
  <c r="AT54" i="19"/>
  <c r="AT58" i="19"/>
  <c r="AT62" i="19"/>
  <c r="AT66" i="19"/>
  <c r="AT70" i="19"/>
  <c r="AT74" i="19"/>
  <c r="AT78" i="19"/>
  <c r="AT82" i="19"/>
  <c r="AT90" i="19"/>
  <c r="AT94" i="19"/>
  <c r="AT18" i="19"/>
  <c r="AT56" i="19"/>
  <c r="AT60" i="19"/>
  <c r="AT72" i="19"/>
  <c r="AT76" i="19"/>
  <c r="AT88" i="19"/>
  <c r="AT51" i="19"/>
  <c r="AT63" i="19"/>
  <c r="AT67" i="19"/>
  <c r="AT19" i="19"/>
  <c r="AT22" i="19"/>
  <c r="AT20" i="19"/>
  <c r="AT23" i="19"/>
  <c r="AT28" i="19"/>
  <c r="AT31" i="19"/>
  <c r="AT36" i="19"/>
  <c r="AT39" i="19"/>
  <c r="AT49" i="19"/>
  <c r="AT53" i="19"/>
  <c r="AT57" i="19"/>
  <c r="AT61" i="19"/>
  <c r="AT65" i="19"/>
  <c r="AT69" i="19"/>
  <c r="AT73" i="19"/>
  <c r="AT75" i="19"/>
  <c r="AT77" i="19"/>
  <c r="AT79" i="19"/>
  <c r="AT81" i="19"/>
  <c r="AT83" i="19"/>
  <c r="AT89" i="19"/>
  <c r="AT91" i="19"/>
  <c r="AT93" i="19"/>
  <c r="AT95" i="19"/>
  <c r="J40" i="14" l="1"/>
  <c r="J43" i="14"/>
  <c r="J49" i="14"/>
  <c r="J52" i="14"/>
  <c r="J53" i="14"/>
  <c r="J50" i="14"/>
  <c r="J45" i="14"/>
  <c r="J48" i="14"/>
  <c r="J51" i="14"/>
  <c r="J46" i="14"/>
  <c r="J44" i="14"/>
  <c r="J47" i="14"/>
  <c r="J41" i="14"/>
  <c r="L46" i="17"/>
  <c r="L45" i="17"/>
  <c r="H14" i="17"/>
  <c r="D14" i="17" s="1"/>
  <c r="G12" i="17"/>
  <c r="C12" i="17" s="1"/>
  <c r="H15" i="17"/>
  <c r="D15" i="17" s="1"/>
  <c r="G15" i="17"/>
  <c r="C15" i="17" s="1"/>
  <c r="G14" i="17"/>
  <c r="C14" i="17" s="1"/>
  <c r="H13" i="17"/>
  <c r="D13" i="17" s="1"/>
  <c r="G13" i="17"/>
  <c r="C13" i="17" s="1"/>
  <c r="H12" i="17"/>
  <c r="D12" i="17" s="1"/>
  <c r="C16" i="17" l="1"/>
  <c r="E13" i="17" s="1"/>
  <c r="D16" i="17"/>
  <c r="F12" i="17" s="1"/>
  <c r="E15" i="17" l="1"/>
  <c r="E12" i="17"/>
  <c r="G16" i="17"/>
  <c r="K13" i="17" s="1"/>
  <c r="F13" i="17"/>
  <c r="F14" i="17"/>
  <c r="E14" i="17"/>
  <c r="F15" i="17"/>
  <c r="H16" i="17" s="1"/>
  <c r="K14" i="17" s="1"/>
  <c r="E16" i="17" l="1"/>
  <c r="F16" i="17"/>
  <c r="L14" i="17"/>
  <c r="L13" i="17"/>
  <c r="AJ5" i="15" l="1"/>
  <c r="AJ6" i="15"/>
  <c r="AJ7" i="15"/>
  <c r="AJ8" i="15"/>
  <c r="AJ9" i="15"/>
  <c r="AJ10" i="15"/>
  <c r="AJ11" i="15"/>
  <c r="AJ12" i="15"/>
  <c r="AJ13" i="15"/>
  <c r="AJ14" i="15"/>
  <c r="AJ15" i="15"/>
  <c r="AJ16" i="15"/>
  <c r="AJ17" i="15"/>
  <c r="AJ18" i="15"/>
  <c r="AJ19" i="15"/>
  <c r="AJ20" i="15"/>
  <c r="AJ21" i="15"/>
  <c r="AJ22" i="15"/>
  <c r="AJ23" i="15"/>
  <c r="AJ24" i="15"/>
  <c r="AJ25" i="15"/>
  <c r="AJ26" i="15"/>
  <c r="AJ27" i="15"/>
  <c r="AJ28" i="15"/>
  <c r="AJ29" i="15"/>
  <c r="AJ30" i="15"/>
  <c r="AJ31" i="15"/>
  <c r="AJ32" i="15"/>
  <c r="AJ33" i="15"/>
  <c r="AJ34" i="15"/>
  <c r="AJ35" i="15"/>
  <c r="AJ36" i="15"/>
  <c r="AJ37" i="15"/>
  <c r="AJ38" i="15"/>
  <c r="AJ39" i="15"/>
  <c r="AJ40" i="15"/>
  <c r="AJ41" i="15"/>
  <c r="AJ42" i="15"/>
  <c r="AJ43" i="15"/>
  <c r="AJ44" i="15"/>
  <c r="AJ45" i="15"/>
  <c r="AJ46" i="15"/>
  <c r="AJ47" i="15"/>
  <c r="AJ48" i="15"/>
  <c r="AJ49" i="15"/>
  <c r="AJ50" i="15"/>
  <c r="AJ51" i="15"/>
  <c r="AJ52" i="15"/>
  <c r="AJ53" i="15"/>
  <c r="AJ54" i="15"/>
  <c r="AJ55" i="15"/>
  <c r="AJ56" i="15"/>
  <c r="AJ57" i="15"/>
  <c r="AJ58" i="15"/>
  <c r="AJ59" i="15"/>
  <c r="AJ60" i="15"/>
  <c r="AJ61" i="15"/>
  <c r="AJ62" i="15"/>
  <c r="AJ63" i="15"/>
  <c r="AJ64" i="15"/>
  <c r="AJ65" i="15"/>
  <c r="AJ66" i="15"/>
  <c r="AJ67" i="15"/>
  <c r="AJ68" i="15"/>
  <c r="AJ69" i="15"/>
  <c r="AJ73" i="15"/>
  <c r="AJ74" i="15"/>
  <c r="AJ75" i="15"/>
  <c r="AJ76" i="15"/>
  <c r="AJ77" i="15"/>
  <c r="AJ72" i="15"/>
  <c r="AJ71" i="15"/>
  <c r="C78" i="14"/>
  <c r="C77" i="14"/>
  <c r="C76" i="14"/>
  <c r="C75" i="14"/>
  <c r="C74" i="14"/>
  <c r="C73" i="14"/>
  <c r="C72" i="14"/>
  <c r="K30" i="14"/>
  <c r="D78" i="14" s="1"/>
  <c r="D29" i="14"/>
  <c r="K29" i="14" s="1"/>
  <c r="D77" i="14" s="1"/>
  <c r="K28" i="14"/>
  <c r="K27" i="14"/>
  <c r="K26" i="14"/>
  <c r="K25" i="14"/>
  <c r="D24" i="14"/>
  <c r="D23" i="14"/>
  <c r="K23" i="14" s="1"/>
  <c r="K22" i="14"/>
  <c r="F41" i="13"/>
  <c r="F39" i="13"/>
  <c r="F38" i="13"/>
  <c r="F37" i="13"/>
  <c r="F35" i="13"/>
  <c r="B17" i="13"/>
  <c r="H16" i="13"/>
  <c r="D16" i="13" s="1"/>
  <c r="G16" i="13"/>
  <c r="C16" i="13" s="1"/>
  <c r="H15" i="13"/>
  <c r="D15" i="13" s="1"/>
  <c r="G15" i="13"/>
  <c r="C15" i="13" s="1"/>
  <c r="H14" i="13"/>
  <c r="D14" i="13" s="1"/>
  <c r="G14" i="13"/>
  <c r="C14" i="13" s="1"/>
  <c r="H13" i="13"/>
  <c r="D13" i="13" s="1"/>
  <c r="G13" i="13"/>
  <c r="C13" i="13" s="1"/>
  <c r="F150" i="12"/>
  <c r="H150" i="12"/>
  <c r="E150" i="12"/>
  <c r="D150" i="12"/>
  <c r="H122" i="12"/>
  <c r="F122" i="12"/>
  <c r="E122" i="12"/>
  <c r="C122" i="12"/>
  <c r="B13" i="12" s="1"/>
  <c r="G121" i="12"/>
  <c r="I121" i="12" s="1"/>
  <c r="G120" i="12"/>
  <c r="I120" i="12" s="1"/>
  <c r="G119" i="12"/>
  <c r="I119" i="12" s="1"/>
  <c r="G118" i="12"/>
  <c r="I118" i="12" s="1"/>
  <c r="G117" i="12"/>
  <c r="I117" i="12" s="1"/>
  <c r="G116" i="12"/>
  <c r="I116" i="12" s="1"/>
  <c r="G115" i="12"/>
  <c r="I115" i="12" s="1"/>
  <c r="G114" i="12"/>
  <c r="I114" i="12" s="1"/>
  <c r="G113" i="12"/>
  <c r="I113" i="12" s="1"/>
  <c r="G112" i="12"/>
  <c r="I112" i="12" s="1"/>
  <c r="G111" i="12"/>
  <c r="I111" i="12" s="1"/>
  <c r="G110" i="12"/>
  <c r="I110" i="12" s="1"/>
  <c r="G109" i="12"/>
  <c r="I109" i="12" s="1"/>
  <c r="G108" i="12"/>
  <c r="I108" i="12" s="1"/>
  <c r="G107" i="12"/>
  <c r="I107" i="12" s="1"/>
  <c r="G106" i="12"/>
  <c r="I106" i="12" s="1"/>
  <c r="G105" i="12"/>
  <c r="I105" i="12" s="1"/>
  <c r="G104" i="12"/>
  <c r="I104" i="12" s="1"/>
  <c r="G103" i="12"/>
  <c r="I103" i="12" s="1"/>
  <c r="G102" i="12"/>
  <c r="I102" i="12" s="1"/>
  <c r="I101" i="12"/>
  <c r="I100" i="12"/>
  <c r="D100" i="12"/>
  <c r="I99" i="12"/>
  <c r="I98" i="12"/>
  <c r="D95" i="12"/>
  <c r="D94" i="12"/>
  <c r="D83" i="12"/>
  <c r="H79" i="12"/>
  <c r="H80" i="12" s="1"/>
  <c r="F79" i="12"/>
  <c r="E79" i="12"/>
  <c r="D79" i="12"/>
  <c r="D12" i="12" s="1"/>
  <c r="C79" i="12"/>
  <c r="B12" i="12" s="1"/>
  <c r="G78" i="12"/>
  <c r="I78" i="12" s="1"/>
  <c r="G77" i="12"/>
  <c r="I77" i="12" s="1"/>
  <c r="G76" i="12"/>
  <c r="I76" i="12" s="1"/>
  <c r="G75" i="12"/>
  <c r="I75" i="12" s="1"/>
  <c r="G74" i="12"/>
  <c r="I74" i="12" s="1"/>
  <c r="G73" i="12"/>
  <c r="I73" i="12" s="1"/>
  <c r="I72" i="12"/>
  <c r="G71" i="12"/>
  <c r="I71" i="12" s="1"/>
  <c r="G70" i="12"/>
  <c r="I70" i="12" s="1"/>
  <c r="G69" i="12"/>
  <c r="I69" i="12" s="1"/>
  <c r="G68" i="12"/>
  <c r="I68" i="12" s="1"/>
  <c r="G67" i="12"/>
  <c r="I67" i="12" s="1"/>
  <c r="G66" i="12"/>
  <c r="I66" i="12" s="1"/>
  <c r="G65" i="12"/>
  <c r="I65" i="12" s="1"/>
  <c r="G64" i="12"/>
  <c r="I64" i="12" s="1"/>
  <c r="G63" i="12"/>
  <c r="I63" i="12" s="1"/>
  <c r="G62" i="12"/>
  <c r="I62" i="12" s="1"/>
  <c r="G61" i="12"/>
  <c r="I61" i="12" s="1"/>
  <c r="G60" i="12"/>
  <c r="I60" i="12" s="1"/>
  <c r="G59" i="12"/>
  <c r="I59" i="12" s="1"/>
  <c r="G58" i="12"/>
  <c r="I58" i="12" s="1"/>
  <c r="G57" i="12"/>
  <c r="I57" i="12" s="1"/>
  <c r="G56" i="12"/>
  <c r="I56" i="12" s="1"/>
  <c r="G55" i="12"/>
  <c r="I55" i="12" s="1"/>
  <c r="G54" i="12"/>
  <c r="I54" i="12" s="1"/>
  <c r="G53" i="12"/>
  <c r="I53" i="12" s="1"/>
  <c r="G52" i="12"/>
  <c r="I52" i="12" s="1"/>
  <c r="G51" i="12"/>
  <c r="I51" i="12" s="1"/>
  <c r="G50" i="12"/>
  <c r="I50" i="12" s="1"/>
  <c r="G49" i="12"/>
  <c r="I49" i="12" s="1"/>
  <c r="G48" i="12"/>
  <c r="I48" i="12" s="1"/>
  <c r="G47" i="12"/>
  <c r="I47" i="12" s="1"/>
  <c r="G46" i="12"/>
  <c r="I46" i="12" s="1"/>
  <c r="G45" i="12"/>
  <c r="I45" i="12" s="1"/>
  <c r="G44" i="12"/>
  <c r="I44" i="12" s="1"/>
  <c r="G43" i="12"/>
  <c r="I43" i="12" s="1"/>
  <c r="G42" i="12"/>
  <c r="I42" i="12" s="1"/>
  <c r="G41" i="12"/>
  <c r="I41" i="12" s="1"/>
  <c r="G40" i="12"/>
  <c r="I40" i="12" s="1"/>
  <c r="G39" i="12"/>
  <c r="I39" i="12" s="1"/>
  <c r="G38" i="12"/>
  <c r="I38" i="12" s="1"/>
  <c r="G37" i="12"/>
  <c r="I37" i="12" s="1"/>
  <c r="G36" i="12"/>
  <c r="I36" i="12" s="1"/>
  <c r="G35" i="12"/>
  <c r="I35" i="12" s="1"/>
  <c r="G34" i="12"/>
  <c r="I34" i="12" s="1"/>
  <c r="G33" i="12"/>
  <c r="I33" i="12" s="1"/>
  <c r="G32" i="12"/>
  <c r="I32" i="12" s="1"/>
  <c r="G31" i="12"/>
  <c r="I31" i="12" s="1"/>
  <c r="G30" i="12"/>
  <c r="I30" i="12" s="1"/>
  <c r="G29" i="12"/>
  <c r="I29" i="12" s="1"/>
  <c r="G28" i="12"/>
  <c r="I28" i="12" s="1"/>
  <c r="G27" i="12"/>
  <c r="I27" i="12" s="1"/>
  <c r="G26" i="12"/>
  <c r="I26" i="12" s="1"/>
  <c r="G25" i="12"/>
  <c r="I25" i="12" s="1"/>
  <c r="G24" i="12"/>
  <c r="D493" i="11"/>
  <c r="B493" i="11"/>
  <c r="D492" i="11"/>
  <c r="B492" i="11"/>
  <c r="D491" i="11"/>
  <c r="B491" i="11"/>
  <c r="D490" i="11"/>
  <c r="B490" i="11"/>
  <c r="D489" i="11"/>
  <c r="B489" i="11"/>
  <c r="D488" i="11"/>
  <c r="B488" i="11"/>
  <c r="D487" i="11"/>
  <c r="B487" i="11"/>
  <c r="D486" i="11"/>
  <c r="B486" i="11"/>
  <c r="D485" i="11"/>
  <c r="B485" i="11"/>
  <c r="D484" i="11"/>
  <c r="B484" i="11"/>
  <c r="D483" i="11"/>
  <c r="B483" i="11"/>
  <c r="D482" i="11"/>
  <c r="B482" i="11"/>
  <c r="D481" i="11"/>
  <c r="B481" i="11"/>
  <c r="D480" i="11"/>
  <c r="B480" i="11"/>
  <c r="D479" i="11"/>
  <c r="B479" i="11"/>
  <c r="D478" i="11"/>
  <c r="B478" i="11"/>
  <c r="D477" i="11"/>
  <c r="B477" i="11"/>
  <c r="D476" i="11"/>
  <c r="B476" i="11"/>
  <c r="D475" i="11"/>
  <c r="B475" i="11"/>
  <c r="D474" i="11"/>
  <c r="B474" i="11"/>
  <c r="D473" i="11"/>
  <c r="B473" i="11"/>
  <c r="D472" i="11"/>
  <c r="B472" i="11"/>
  <c r="D471" i="11"/>
  <c r="B471" i="11"/>
  <c r="D470" i="11"/>
  <c r="B470" i="11"/>
  <c r="D469" i="11"/>
  <c r="B469" i="11"/>
  <c r="D468" i="11"/>
  <c r="B468" i="11"/>
  <c r="D467" i="11"/>
  <c r="B467" i="11"/>
  <c r="D466" i="11"/>
  <c r="B466" i="11"/>
  <c r="D465" i="11"/>
  <c r="B465" i="11"/>
  <c r="D464" i="11"/>
  <c r="B464" i="11"/>
  <c r="D463" i="11"/>
  <c r="B463" i="11"/>
  <c r="D462" i="11"/>
  <c r="B462" i="11"/>
  <c r="D461" i="11"/>
  <c r="B461" i="11"/>
  <c r="D460" i="11"/>
  <c r="B460" i="11"/>
  <c r="D459" i="11"/>
  <c r="B459" i="11"/>
  <c r="D458" i="11"/>
  <c r="B458" i="11"/>
  <c r="D457" i="11"/>
  <c r="B457" i="11"/>
  <c r="D456" i="11"/>
  <c r="B456" i="11"/>
  <c r="D455" i="11"/>
  <c r="B455" i="11"/>
  <c r="D454" i="11"/>
  <c r="B454" i="11"/>
  <c r="T33" i="11"/>
  <c r="T32" i="11"/>
  <c r="T31" i="11"/>
  <c r="T30" i="11"/>
  <c r="T29" i="11"/>
  <c r="T28" i="11"/>
  <c r="T27" i="11"/>
  <c r="T26" i="11"/>
  <c r="D93" i="10"/>
  <c r="D92" i="10"/>
  <c r="D91" i="10"/>
  <c r="D90" i="10"/>
  <c r="D89" i="10"/>
  <c r="D88" i="10"/>
  <c r="D87" i="10"/>
  <c r="D86" i="10"/>
  <c r="F65" i="10"/>
  <c r="F64" i="10"/>
  <c r="F63" i="10"/>
  <c r="F62" i="10"/>
  <c r="F22" i="10"/>
  <c r="E22" i="10"/>
  <c r="D22" i="10"/>
  <c r="C22" i="10"/>
  <c r="A22" i="10"/>
  <c r="C59" i="9"/>
  <c r="F22" i="9"/>
  <c r="D22" i="9"/>
  <c r="C136" i="8"/>
  <c r="C135" i="8"/>
  <c r="Q18" i="6"/>
  <c r="G23" i="24" l="1"/>
  <c r="D73" i="14"/>
  <c r="H73" i="14" s="1"/>
  <c r="I73" i="14" s="1"/>
  <c r="U21" i="11"/>
  <c r="L16" i="11" s="1"/>
  <c r="H71" i="14"/>
  <c r="I71" i="14" s="1"/>
  <c r="H77" i="14"/>
  <c r="I77" i="14" s="1"/>
  <c r="F77" i="14"/>
  <c r="G77" i="14" s="1"/>
  <c r="H78" i="14"/>
  <c r="I78" i="14" s="1"/>
  <c r="F78" i="14"/>
  <c r="D76" i="14"/>
  <c r="D74" i="14"/>
  <c r="D75" i="14"/>
  <c r="H125" i="12"/>
  <c r="G141" i="12"/>
  <c r="I150" i="12"/>
  <c r="F141" i="12" s="1"/>
  <c r="E12" i="12"/>
  <c r="D80" i="12"/>
  <c r="D122" i="12"/>
  <c r="D13" i="12" s="1"/>
  <c r="E13" i="12" s="1"/>
  <c r="G79" i="12"/>
  <c r="G80" i="12" s="1"/>
  <c r="D141" i="12" s="1"/>
  <c r="A25" i="10"/>
  <c r="D72" i="14" s="1"/>
  <c r="D17" i="13"/>
  <c r="F13" i="13" s="1"/>
  <c r="C17" i="13"/>
  <c r="E14" i="13" s="1"/>
  <c r="I14" i="13" s="1"/>
  <c r="I122" i="12"/>
  <c r="G122" i="12"/>
  <c r="I24" i="12"/>
  <c r="I79" i="12" s="1"/>
  <c r="H123" i="12"/>
  <c r="B51" i="9"/>
  <c r="L18" i="11" l="1"/>
  <c r="H23" i="24"/>
  <c r="C51" i="9"/>
  <c r="D58" i="9" s="1"/>
  <c r="I18" i="11"/>
  <c r="D123" i="12"/>
  <c r="F73" i="14"/>
  <c r="G73" i="14" s="1"/>
  <c r="D59" i="9"/>
  <c r="O71" i="14"/>
  <c r="N71" i="14"/>
  <c r="F71" i="14"/>
  <c r="L78" i="14"/>
  <c r="M78" i="14"/>
  <c r="J78" i="14"/>
  <c r="K78" i="14" s="1"/>
  <c r="O78" i="14"/>
  <c r="N78" i="14"/>
  <c r="M77" i="14"/>
  <c r="N77" i="14"/>
  <c r="O77" i="14"/>
  <c r="J77" i="14"/>
  <c r="K77" i="14" s="1"/>
  <c r="L77" i="14"/>
  <c r="H75" i="14"/>
  <c r="I75" i="14" s="1"/>
  <c r="F75" i="14"/>
  <c r="G75" i="14" s="1"/>
  <c r="H74" i="14"/>
  <c r="I74" i="14" s="1"/>
  <c r="F74" i="14"/>
  <c r="G74" i="14" s="1"/>
  <c r="F76" i="14"/>
  <c r="G76" i="14" s="1"/>
  <c r="H76" i="14"/>
  <c r="I76" i="14" s="1"/>
  <c r="O73" i="14"/>
  <c r="J73" i="14"/>
  <c r="K73" i="14" s="1"/>
  <c r="N73" i="14"/>
  <c r="L73" i="14"/>
  <c r="M73" i="14"/>
  <c r="J71" i="14"/>
  <c r="K71" i="14" s="1"/>
  <c r="C25" i="10"/>
  <c r="E13" i="13"/>
  <c r="I13" i="13" s="1"/>
  <c r="F142" i="12"/>
  <c r="F144" i="12" s="1"/>
  <c r="I159" i="12" s="1"/>
  <c r="C141" i="12"/>
  <c r="E16" i="13"/>
  <c r="I16" i="13" s="1"/>
  <c r="E15" i="13"/>
  <c r="I15" i="13" s="1"/>
  <c r="G78" i="14"/>
  <c r="J13" i="13"/>
  <c r="F16" i="13"/>
  <c r="J16" i="13" s="1"/>
  <c r="F15" i="13"/>
  <c r="J15" i="13" s="1"/>
  <c r="F14" i="13"/>
  <c r="J14" i="13" s="1"/>
  <c r="G125" i="12"/>
  <c r="I125" i="12" s="1"/>
  <c r="G123" i="12"/>
  <c r="C142" i="12"/>
  <c r="I123" i="12"/>
  <c r="K142" i="12" s="1"/>
  <c r="J142" i="12"/>
  <c r="G142" i="12"/>
  <c r="G144" i="12" s="1"/>
  <c r="H124" i="12"/>
  <c r="J141" i="12"/>
  <c r="I80" i="12"/>
  <c r="K141" i="12" s="1"/>
  <c r="E61" i="10"/>
  <c r="F61" i="10" s="1"/>
  <c r="E71" i="10"/>
  <c r="F71" i="10" s="1"/>
  <c r="G27" i="5"/>
  <c r="G28" i="5"/>
  <c r="G29" i="5"/>
  <c r="G30" i="5"/>
  <c r="G31" i="5"/>
  <c r="G32" i="5"/>
  <c r="G33" i="5"/>
  <c r="G34" i="5"/>
  <c r="G35" i="5"/>
  <c r="G36" i="5"/>
  <c r="G37" i="5"/>
  <c r="G38" i="5"/>
  <c r="G39" i="5"/>
  <c r="G40" i="5"/>
  <c r="G41" i="5"/>
  <c r="G42" i="5"/>
  <c r="G43" i="5"/>
  <c r="G44" i="5"/>
  <c r="G45" i="5"/>
  <c r="G46" i="5"/>
  <c r="G47" i="5"/>
  <c r="G48" i="5"/>
  <c r="G49" i="5"/>
  <c r="G50" i="5"/>
  <c r="G51" i="5"/>
  <c r="G52" i="5"/>
  <c r="G53" i="5"/>
  <c r="G54" i="5"/>
  <c r="G55" i="5"/>
  <c r="G56" i="5"/>
  <c r="G57" i="5"/>
  <c r="G58" i="5"/>
  <c r="G59" i="5"/>
  <c r="G60" i="5"/>
  <c r="G61" i="5"/>
  <c r="G62" i="5"/>
  <c r="G63" i="5"/>
  <c r="G64" i="5"/>
  <c r="G65" i="5"/>
  <c r="G66" i="5"/>
  <c r="G67" i="5"/>
  <c r="G68" i="5"/>
  <c r="G69" i="5"/>
  <c r="G70" i="5"/>
  <c r="G71" i="5"/>
  <c r="G72" i="5"/>
  <c r="G73" i="5"/>
  <c r="G74" i="5"/>
  <c r="G75" i="5"/>
  <c r="G76" i="5"/>
  <c r="G77" i="5"/>
  <c r="G78" i="5"/>
  <c r="G79" i="5"/>
  <c r="G80" i="5"/>
  <c r="G81" i="5"/>
  <c r="G82" i="5"/>
  <c r="G83" i="5"/>
  <c r="G84" i="5"/>
  <c r="G85" i="5"/>
  <c r="G86" i="5"/>
  <c r="G87" i="5"/>
  <c r="G88" i="5"/>
  <c r="G89" i="5"/>
  <c r="G90" i="5"/>
  <c r="G91" i="5"/>
  <c r="G92" i="5"/>
  <c r="G93" i="5"/>
  <c r="G94" i="5"/>
  <c r="G95" i="5"/>
  <c r="G96" i="5"/>
  <c r="G26" i="5"/>
  <c r="G25" i="5"/>
  <c r="F97" i="5"/>
  <c r="D97" i="5"/>
  <c r="E27" i="5" s="1"/>
  <c r="C97" i="5"/>
  <c r="C114" i="5"/>
  <c r="D120" i="5" s="1"/>
  <c r="B114" i="5"/>
  <c r="C106" i="5"/>
  <c r="D118" i="5" s="1"/>
  <c r="B106" i="5"/>
  <c r="C118" i="5" s="1"/>
  <c r="G11" i="5"/>
  <c r="G12" i="5"/>
  <c r="G13" i="5"/>
  <c r="G14" i="5"/>
  <c r="G15" i="5"/>
  <c r="G16" i="5"/>
  <c r="G17" i="5"/>
  <c r="G18" i="5"/>
  <c r="G19" i="5"/>
  <c r="G20" i="5"/>
  <c r="G10" i="5"/>
  <c r="F21" i="5"/>
  <c r="D21" i="5"/>
  <c r="E11" i="5" s="1"/>
  <c r="C21" i="5"/>
  <c r="E118" i="5" l="1"/>
  <c r="G51" i="9"/>
  <c r="C144" i="12"/>
  <c r="H159" i="12" s="1"/>
  <c r="I157" i="12"/>
  <c r="D117" i="5"/>
  <c r="D121" i="5" s="1"/>
  <c r="D16" i="3"/>
  <c r="C120" i="5"/>
  <c r="E120" i="5" s="1"/>
  <c r="I158" i="12"/>
  <c r="K25" i="24"/>
  <c r="G71" i="14"/>
  <c r="D79" i="14"/>
  <c r="H72" i="14"/>
  <c r="I72" i="14" s="1"/>
  <c r="O76" i="14"/>
  <c r="M76" i="14"/>
  <c r="J76" i="14"/>
  <c r="K76" i="14" s="1"/>
  <c r="N76" i="14"/>
  <c r="L76" i="14"/>
  <c r="N75" i="14"/>
  <c r="M75" i="14"/>
  <c r="J75" i="14"/>
  <c r="K75" i="14" s="1"/>
  <c r="L75" i="14"/>
  <c r="O75" i="14"/>
  <c r="J74" i="14"/>
  <c r="K74" i="14" s="1"/>
  <c r="L74" i="14"/>
  <c r="N74" i="14"/>
  <c r="O74" i="14"/>
  <c r="M74" i="14"/>
  <c r="F72" i="14"/>
  <c r="F79" i="14" s="1"/>
  <c r="G79" i="14" s="1"/>
  <c r="L71" i="14"/>
  <c r="M71" i="14"/>
  <c r="I17" i="13"/>
  <c r="G14" i="24" s="1"/>
  <c r="E17" i="13"/>
  <c r="J144" i="12"/>
  <c r="J159" i="12" s="1"/>
  <c r="F17" i="13"/>
  <c r="J17" i="13"/>
  <c r="H14" i="24" s="1"/>
  <c r="H157" i="12"/>
  <c r="K144" i="12"/>
  <c r="I160" i="12" s="1"/>
  <c r="D142" i="12"/>
  <c r="D144" i="12" s="1"/>
  <c r="G124" i="12"/>
  <c r="I124" i="12" s="1"/>
  <c r="G59" i="9"/>
  <c r="K59" i="9"/>
  <c r="I59" i="9"/>
  <c r="L59" i="9"/>
  <c r="D60" i="9"/>
  <c r="E91" i="5"/>
  <c r="G97" i="5"/>
  <c r="E68" i="5"/>
  <c r="E46" i="5"/>
  <c r="E31" i="5"/>
  <c r="D18" i="3"/>
  <c r="E95" i="5"/>
  <c r="E80" i="5"/>
  <c r="E58" i="5"/>
  <c r="E43" i="5"/>
  <c r="E69" i="5"/>
  <c r="E47" i="5"/>
  <c r="E32" i="5"/>
  <c r="E83" i="5"/>
  <c r="E94" i="5"/>
  <c r="E79" i="5"/>
  <c r="E57" i="5"/>
  <c r="E35" i="5"/>
  <c r="E93" i="5"/>
  <c r="E82" i="5"/>
  <c r="E71" i="5"/>
  <c r="E67" i="5"/>
  <c r="E56" i="5"/>
  <c r="E45" i="5"/>
  <c r="E34" i="5"/>
  <c r="D17" i="3"/>
  <c r="E92" i="5"/>
  <c r="E81" i="5"/>
  <c r="E70" i="5"/>
  <c r="E59" i="5"/>
  <c r="E55" i="5"/>
  <c r="E44" i="5"/>
  <c r="E33" i="5"/>
  <c r="E86" i="5"/>
  <c r="E74" i="5"/>
  <c r="E62" i="5"/>
  <c r="E50" i="5"/>
  <c r="E38" i="5"/>
  <c r="E26" i="5"/>
  <c r="E25" i="5"/>
  <c r="E85" i="5"/>
  <c r="E73" i="5"/>
  <c r="E61" i="5"/>
  <c r="E49" i="5"/>
  <c r="E37" i="5"/>
  <c r="E96" i="5"/>
  <c r="E84" i="5"/>
  <c r="E72" i="5"/>
  <c r="E60" i="5"/>
  <c r="E48" i="5"/>
  <c r="E36" i="5"/>
  <c r="C117" i="5"/>
  <c r="E90" i="5"/>
  <c r="E78" i="5"/>
  <c r="E66" i="5"/>
  <c r="E54" i="5"/>
  <c r="E42" i="5"/>
  <c r="E30" i="5"/>
  <c r="E15" i="5"/>
  <c r="E89" i="5"/>
  <c r="E77" i="5"/>
  <c r="E65" i="5"/>
  <c r="E53" i="5"/>
  <c r="E41" i="5"/>
  <c r="E29" i="5"/>
  <c r="E88" i="5"/>
  <c r="E76" i="5"/>
  <c r="E64" i="5"/>
  <c r="E52" i="5"/>
  <c r="E40" i="5"/>
  <c r="E28" i="5"/>
  <c r="E87" i="5"/>
  <c r="E75" i="5"/>
  <c r="E63" i="5"/>
  <c r="E51" i="5"/>
  <c r="E39" i="5"/>
  <c r="G21" i="5"/>
  <c r="E20" i="5"/>
  <c r="E17" i="5"/>
  <c r="E10" i="5"/>
  <c r="E16" i="5"/>
  <c r="E19" i="5"/>
  <c r="E18" i="5"/>
  <c r="E14" i="5"/>
  <c r="E13" i="5"/>
  <c r="E12" i="5"/>
  <c r="B96" i="5"/>
  <c r="B95" i="5"/>
  <c r="B94" i="5"/>
  <c r="B93" i="5"/>
  <c r="B92" i="5"/>
  <c r="B91" i="5"/>
  <c r="B90" i="5"/>
  <c r="B89" i="5"/>
  <c r="B88" i="5"/>
  <c r="B87" i="5"/>
  <c r="B86" i="5"/>
  <c r="B85" i="5"/>
  <c r="B84" i="5"/>
  <c r="B83" i="5"/>
  <c r="B82" i="5"/>
  <c r="B81" i="5"/>
  <c r="B80" i="5"/>
  <c r="B79" i="5"/>
  <c r="B78" i="5"/>
  <c r="B77" i="5"/>
  <c r="B76" i="5"/>
  <c r="B75" i="5"/>
  <c r="B74" i="5"/>
  <c r="B73" i="5"/>
  <c r="B72" i="5"/>
  <c r="B71" i="5"/>
  <c r="B70" i="5"/>
  <c r="B69" i="5"/>
  <c r="B68" i="5"/>
  <c r="B67" i="5"/>
  <c r="B66" i="5"/>
  <c r="B65" i="5"/>
  <c r="B64" i="5"/>
  <c r="B63" i="5"/>
  <c r="B62" i="5"/>
  <c r="B61" i="5"/>
  <c r="B60" i="5"/>
  <c r="B59" i="5"/>
  <c r="B58" i="5"/>
  <c r="B57" i="5"/>
  <c r="B56" i="5"/>
  <c r="B55" i="5"/>
  <c r="B54" i="5"/>
  <c r="B53" i="5"/>
  <c r="B52" i="5"/>
  <c r="B51" i="5"/>
  <c r="B50" i="5"/>
  <c r="B49" i="5"/>
  <c r="B48" i="5"/>
  <c r="B47" i="5"/>
  <c r="B46" i="5"/>
  <c r="B45" i="5"/>
  <c r="B44" i="5"/>
  <c r="B43" i="5"/>
  <c r="B42" i="5"/>
  <c r="B41" i="5"/>
  <c r="B40" i="5"/>
  <c r="B39" i="5"/>
  <c r="B38" i="5"/>
  <c r="B37" i="5"/>
  <c r="B36" i="5"/>
  <c r="B35" i="5"/>
  <c r="B34" i="5"/>
  <c r="B33" i="5"/>
  <c r="B32" i="5"/>
  <c r="B31" i="5"/>
  <c r="B30" i="5"/>
  <c r="B29" i="5"/>
  <c r="B28" i="5"/>
  <c r="B27" i="5"/>
  <c r="B26" i="5"/>
  <c r="H158" i="12" l="1"/>
  <c r="C121" i="5"/>
  <c r="E117" i="5"/>
  <c r="J23" i="24"/>
  <c r="H160" i="12"/>
  <c r="H16" i="24"/>
  <c r="L72" i="14"/>
  <c r="N72" i="14"/>
  <c r="J72" i="14"/>
  <c r="K72" i="14" s="1"/>
  <c r="M72" i="14"/>
  <c r="O72" i="14"/>
  <c r="D86" i="14"/>
  <c r="D90" i="14" s="1"/>
  <c r="G72" i="14"/>
  <c r="J158" i="12"/>
  <c r="J157" i="12"/>
  <c r="G163" i="12" s="1"/>
  <c r="H163" i="12" s="1"/>
  <c r="G12" i="24" s="1"/>
  <c r="I18" i="13"/>
  <c r="G18" i="13" s="1"/>
  <c r="L60" i="9"/>
  <c r="K60" i="9"/>
  <c r="I60" i="9"/>
  <c r="G60" i="9"/>
  <c r="D19" i="3"/>
  <c r="B7" i="26" s="1"/>
  <c r="E97" i="5"/>
  <c r="E21" i="5"/>
  <c r="E121" i="5" l="1"/>
  <c r="K13" i="24"/>
  <c r="J12" i="24"/>
  <c r="J14" i="24"/>
  <c r="K15" i="24"/>
  <c r="G16" i="24"/>
  <c r="C86" i="14"/>
  <c r="C87" i="14" s="1"/>
  <c r="E86" i="14"/>
  <c r="E89" i="14" s="1"/>
  <c r="D89" i="14"/>
  <c r="D88" i="14"/>
  <c r="D87" i="14"/>
  <c r="D99" i="14" s="1"/>
  <c r="H164" i="12"/>
  <c r="F25" i="3"/>
  <c r="E25" i="3"/>
  <c r="D25" i="3"/>
  <c r="C25" i="3"/>
  <c r="J16" i="24" l="1"/>
  <c r="E90" i="14"/>
  <c r="E88" i="14"/>
  <c r="C89" i="14"/>
  <c r="C90" i="14"/>
  <c r="C88" i="14"/>
  <c r="E87" i="14"/>
  <c r="B24" i="3"/>
  <c r="B8" i="26" s="1"/>
  <c r="B25" i="3"/>
  <c r="E72" i="26" l="1"/>
  <c r="BJ74" i="26"/>
  <c r="BJ78" i="26" s="1"/>
  <c r="I74" i="26"/>
  <c r="I78" i="26" s="1"/>
  <c r="BB73" i="26"/>
  <c r="BB77" i="26" s="1"/>
  <c r="CY72" i="26"/>
  <c r="BK72" i="26"/>
  <c r="W72" i="26"/>
  <c r="CU72" i="26"/>
  <c r="S72" i="26"/>
  <c r="CQ72" i="26"/>
  <c r="CL72" i="26"/>
  <c r="G72" i="26"/>
  <c r="CE74" i="26"/>
  <c r="CE78" i="26" s="1"/>
  <c r="CD74" i="26"/>
  <c r="CD78" i="26" s="1"/>
  <c r="BZ72" i="26"/>
  <c r="BZ74" i="26"/>
  <c r="BZ78" i="26" s="1"/>
  <c r="Q73" i="26"/>
  <c r="Q77" i="26" s="1"/>
  <c r="AD72" i="26"/>
  <c r="BI74" i="26"/>
  <c r="BI78" i="26" s="1"/>
  <c r="G74" i="26"/>
  <c r="G78" i="26" s="1"/>
  <c r="BA73" i="26"/>
  <c r="BA77" i="26" s="1"/>
  <c r="CX72" i="26"/>
  <c r="BJ72" i="26"/>
  <c r="V72" i="26"/>
  <c r="BE74" i="26"/>
  <c r="BE78" i="26" s="1"/>
  <c r="CX73" i="26"/>
  <c r="CX77" i="26" s="1"/>
  <c r="AW73" i="26"/>
  <c r="AW77" i="26" s="1"/>
  <c r="BG72" i="26"/>
  <c r="AY74" i="26"/>
  <c r="AY78" i="26" s="1"/>
  <c r="CS73" i="26"/>
  <c r="CS77" i="26" s="1"/>
  <c r="AR73" i="26"/>
  <c r="AR77" i="26" s="1"/>
  <c r="BC72" i="26"/>
  <c r="O72" i="26"/>
  <c r="K72" i="26"/>
  <c r="J72" i="26"/>
  <c r="AO74" i="26"/>
  <c r="AO78" i="26" s="1"/>
  <c r="CH73" i="26"/>
  <c r="CH77" i="26" s="1"/>
  <c r="AG73" i="26"/>
  <c r="AG77" i="26" s="1"/>
  <c r="CI72" i="26"/>
  <c r="AU72" i="26"/>
  <c r="AD74" i="26"/>
  <c r="AD78" i="26" s="1"/>
  <c r="BV73" i="26"/>
  <c r="BV77" i="26" s="1"/>
  <c r="AL72" i="26"/>
  <c r="BY74" i="26"/>
  <c r="BY78" i="26" s="1"/>
  <c r="AH72" i="26"/>
  <c r="BL73" i="26"/>
  <c r="BL77" i="26" s="1"/>
  <c r="BO72" i="26"/>
  <c r="M74" i="26"/>
  <c r="M78" i="26" s="1"/>
  <c r="CQ74" i="26"/>
  <c r="CQ78" i="26" s="1"/>
  <c r="BC74" i="26"/>
  <c r="BC78" i="26" s="1"/>
  <c r="CW73" i="26"/>
  <c r="CW77" i="26" s="1"/>
  <c r="AV73" i="26"/>
  <c r="AV77" i="26" s="1"/>
  <c r="CT72" i="26"/>
  <c r="BF72" i="26"/>
  <c r="R72" i="26"/>
  <c r="BQ73" i="26"/>
  <c r="BQ77" i="26" s="1"/>
  <c r="BO74" i="26"/>
  <c r="BO78" i="26" s="1"/>
  <c r="CY74" i="26"/>
  <c r="CY78" i="26" s="1"/>
  <c r="AX74" i="26"/>
  <c r="AX78" i="26" s="1"/>
  <c r="CR73" i="26"/>
  <c r="CR77" i="26" s="1"/>
  <c r="AP73" i="26"/>
  <c r="AP77" i="26" s="1"/>
  <c r="CP72" i="26"/>
  <c r="BB72" i="26"/>
  <c r="N72" i="26"/>
  <c r="CU74" i="26"/>
  <c r="CU78" i="26" s="1"/>
  <c r="AT74" i="26"/>
  <c r="AT78" i="26" s="1"/>
  <c r="CN73" i="26"/>
  <c r="CN77" i="26" s="1"/>
  <c r="AL73" i="26"/>
  <c r="AL77" i="26" s="1"/>
  <c r="CM72" i="26"/>
  <c r="AY72" i="26"/>
  <c r="CT74" i="26"/>
  <c r="CT78" i="26" s="1"/>
  <c r="AS74" i="26"/>
  <c r="AS78" i="26" s="1"/>
  <c r="CL73" i="26"/>
  <c r="CL77" i="26" s="1"/>
  <c r="AK73" i="26"/>
  <c r="AK77" i="26" s="1"/>
  <c r="AX72" i="26"/>
  <c r="BR73" i="26"/>
  <c r="BR77" i="26" s="1"/>
  <c r="AI72" i="26"/>
  <c r="W74" i="26"/>
  <c r="W78" i="26" s="1"/>
  <c r="BS74" i="26"/>
  <c r="BS78" i="26" s="1"/>
  <c r="AA72" i="26"/>
  <c r="BN74" i="26"/>
  <c r="BN78" i="26" s="1"/>
  <c r="BN72" i="26"/>
  <c r="CP74" i="26"/>
  <c r="CP78" i="26" s="1"/>
  <c r="Y74" i="26"/>
  <c r="Y78" i="26" s="1"/>
  <c r="P73" i="26"/>
  <c r="P77" i="26" s="1"/>
  <c r="K73" i="26"/>
  <c r="K77" i="26" s="1"/>
  <c r="N74" i="26"/>
  <c r="N78" i="26" s="1"/>
  <c r="G73" i="26"/>
  <c r="G77" i="26" s="1"/>
  <c r="CO74" i="26"/>
  <c r="CO78" i="26" s="1"/>
  <c r="AM74" i="26"/>
  <c r="AM78" i="26" s="1"/>
  <c r="CG73" i="26"/>
  <c r="CG77" i="26" s="1"/>
  <c r="AF73" i="26"/>
  <c r="AF77" i="26" s="1"/>
  <c r="CH72" i="26"/>
  <c r="AT72" i="26"/>
  <c r="F72" i="26"/>
  <c r="CK74" i="26"/>
  <c r="CK78" i="26" s="1"/>
  <c r="AI74" i="26"/>
  <c r="AI78" i="26" s="1"/>
  <c r="CC73" i="26"/>
  <c r="CC77" i="26" s="1"/>
  <c r="AB73" i="26"/>
  <c r="AB77" i="26" s="1"/>
  <c r="CE72" i="26"/>
  <c r="AQ72" i="26"/>
  <c r="AH74" i="26"/>
  <c r="AH78" i="26" s="1"/>
  <c r="Z73" i="26"/>
  <c r="Z77" i="26" s="1"/>
  <c r="AP72" i="26"/>
  <c r="V73" i="26"/>
  <c r="V77" i="26" s="1"/>
  <c r="AC74" i="26"/>
  <c r="AC78" i="26" s="1"/>
  <c r="U73" i="26"/>
  <c r="U77" i="26" s="1"/>
  <c r="BV72" i="26"/>
  <c r="R74" i="26"/>
  <c r="R78" i="26" s="1"/>
  <c r="H73" i="26"/>
  <c r="H77" i="26" s="1"/>
  <c r="BF73" i="26"/>
  <c r="BF77" i="26" s="1"/>
  <c r="CI74" i="26"/>
  <c r="CI78" i="26" s="1"/>
  <c r="CB73" i="26"/>
  <c r="CB77" i="26" s="1"/>
  <c r="CD72" i="26"/>
  <c r="BX73" i="26"/>
  <c r="BX77" i="26" s="1"/>
  <c r="AM72" i="26"/>
  <c r="BR72" i="26"/>
  <c r="CA72" i="26"/>
  <c r="BW72" i="26"/>
  <c r="BH73" i="26"/>
  <c r="BH77" i="26" s="1"/>
  <c r="Z72" i="26"/>
  <c r="BU74" i="26"/>
  <c r="BU78" i="26" s="1"/>
  <c r="S74" i="26"/>
  <c r="S78" i="26" s="1"/>
  <c r="BM73" i="26"/>
  <c r="BM77" i="26" s="1"/>
  <c r="L73" i="26"/>
  <c r="L77" i="26" s="1"/>
  <c r="BS72" i="26"/>
  <c r="AE72" i="26"/>
  <c r="CF72" i="26"/>
  <c r="BK74" i="26"/>
  <c r="BK78" i="26" s="1"/>
  <c r="AJ74" i="26"/>
  <c r="AJ78" i="26" s="1"/>
  <c r="BC73" i="26"/>
  <c r="BC77" i="26" s="1"/>
  <c r="CR72" i="26"/>
  <c r="CC72" i="26"/>
  <c r="BZ73" i="26"/>
  <c r="BZ77" i="26" s="1"/>
  <c r="CH74" i="26"/>
  <c r="CH78" i="26" s="1"/>
  <c r="CV72" i="26"/>
  <c r="CA74" i="26"/>
  <c r="CA78" i="26" s="1"/>
  <c r="AU73" i="26"/>
  <c r="AU77" i="26" s="1"/>
  <c r="CK72" i="26"/>
  <c r="CS74" i="26"/>
  <c r="CS78" i="26" s="1"/>
  <c r="CL74" i="26"/>
  <c r="CL78" i="26" s="1"/>
  <c r="AQ73" i="26"/>
  <c r="AQ77" i="26" s="1"/>
  <c r="CO72" i="26"/>
  <c r="CX74" i="26"/>
  <c r="CX78" i="26" s="1"/>
  <c r="CV74" i="26"/>
  <c r="CV78" i="26" s="1"/>
  <c r="AM73" i="26"/>
  <c r="AM77" i="26" s="1"/>
  <c r="AX73" i="26"/>
  <c r="AX77" i="26" s="1"/>
  <c r="CF74" i="26"/>
  <c r="CF78" i="26" s="1"/>
  <c r="W73" i="26"/>
  <c r="W77" i="26" s="1"/>
  <c r="CB74" i="26"/>
  <c r="CB78" i="26" s="1"/>
  <c r="O73" i="26"/>
  <c r="O77" i="26" s="1"/>
  <c r="AG74" i="26"/>
  <c r="AG78" i="26" s="1"/>
  <c r="BT74" i="26"/>
  <c r="BT78" i="26" s="1"/>
  <c r="AS72" i="26"/>
  <c r="AF72" i="26"/>
  <c r="CJ73" i="26"/>
  <c r="CJ77" i="26" s="1"/>
  <c r="T72" i="26"/>
  <c r="AB72" i="26"/>
  <c r="AW74" i="26"/>
  <c r="AW78" i="26" s="1"/>
  <c r="E74" i="26"/>
  <c r="E78" i="26" s="1"/>
  <c r="BW73" i="26"/>
  <c r="BW77" i="26" s="1"/>
  <c r="BI72" i="26"/>
  <c r="Z74" i="26"/>
  <c r="Z78" i="26" s="1"/>
  <c r="AZ72" i="26"/>
  <c r="BM74" i="26"/>
  <c r="BM78" i="26" s="1"/>
  <c r="AE74" i="26"/>
  <c r="AE78" i="26" s="1"/>
  <c r="BQ72" i="26"/>
  <c r="AR74" i="26"/>
  <c r="AR78" i="26" s="1"/>
  <c r="CN72" i="26"/>
  <c r="BQ74" i="26"/>
  <c r="BQ78" i="26" s="1"/>
  <c r="AF74" i="26"/>
  <c r="AF78" i="26" s="1"/>
  <c r="AY73" i="26"/>
  <c r="AY77" i="26" s="1"/>
  <c r="I73" i="26"/>
  <c r="I77" i="26" s="1"/>
  <c r="CG72" i="26"/>
  <c r="CF73" i="26"/>
  <c r="CF77" i="26" s="1"/>
  <c r="CM74" i="26"/>
  <c r="CM78" i="26" s="1"/>
  <c r="AB74" i="26"/>
  <c r="AB78" i="26" s="1"/>
  <c r="R73" i="26"/>
  <c r="R77" i="26" s="1"/>
  <c r="I72" i="26"/>
  <c r="CK73" i="26"/>
  <c r="CK77" i="26" s="1"/>
  <c r="E73" i="26"/>
  <c r="E77" i="26" s="1"/>
  <c r="X74" i="26"/>
  <c r="X78" i="26" s="1"/>
  <c r="AC73" i="26"/>
  <c r="AC77" i="26" s="1"/>
  <c r="M72" i="26"/>
  <c r="CP73" i="26"/>
  <c r="CP77" i="26" s="1"/>
  <c r="M73" i="26"/>
  <c r="M77" i="26" s="1"/>
  <c r="T74" i="26"/>
  <c r="T78" i="26" s="1"/>
  <c r="AN73" i="26"/>
  <c r="AN77" i="26" s="1"/>
  <c r="Q72" i="26"/>
  <c r="CS72" i="26"/>
  <c r="CV73" i="26"/>
  <c r="CV77" i="26" s="1"/>
  <c r="X73" i="26"/>
  <c r="X77" i="26" s="1"/>
  <c r="CR74" i="26"/>
  <c r="CR78" i="26" s="1"/>
  <c r="AI73" i="26"/>
  <c r="AI77" i="26" s="1"/>
  <c r="BD73" i="26"/>
  <c r="BD77" i="26" s="1"/>
  <c r="U72" i="26"/>
  <c r="F74" i="26"/>
  <c r="F78" i="26" s="1"/>
  <c r="AS73" i="26"/>
  <c r="AS77" i="26" s="1"/>
  <c r="AC72" i="26"/>
  <c r="Q74" i="26"/>
  <c r="Q78" i="26" s="1"/>
  <c r="CY73" i="26"/>
  <c r="CY77" i="26" s="1"/>
  <c r="AG72" i="26"/>
  <c r="V74" i="26"/>
  <c r="V78" i="26" s="1"/>
  <c r="H72" i="26"/>
  <c r="CU73" i="26"/>
  <c r="CU77" i="26" s="1"/>
  <c r="J74" i="26"/>
  <c r="J78" i="26" s="1"/>
  <c r="T73" i="26"/>
  <c r="T77" i="26" s="1"/>
  <c r="BX74" i="26"/>
  <c r="BX78" i="26" s="1"/>
  <c r="AO72" i="26"/>
  <c r="BY73" i="26"/>
  <c r="BY77" i="26" s="1"/>
  <c r="AK74" i="26"/>
  <c r="AK78" i="26" s="1"/>
  <c r="AL74" i="26"/>
  <c r="AL78" i="26" s="1"/>
  <c r="CI73" i="26"/>
  <c r="CI77" i="26" s="1"/>
  <c r="AW72" i="26"/>
  <c r="CE73" i="26"/>
  <c r="CE77" i="26" s="1"/>
  <c r="BA72" i="26"/>
  <c r="BH74" i="26"/>
  <c r="BH78" i="26" s="1"/>
  <c r="BD74" i="26"/>
  <c r="BD78" i="26" s="1"/>
  <c r="AZ74" i="26"/>
  <c r="AZ78" i="26" s="1"/>
  <c r="BE73" i="26"/>
  <c r="BE77" i="26" s="1"/>
  <c r="AV74" i="26"/>
  <c r="AV78" i="26" s="1"/>
  <c r="BR74" i="26"/>
  <c r="BR78" i="26" s="1"/>
  <c r="AP74" i="26"/>
  <c r="AP78" i="26" s="1"/>
  <c r="BG73" i="26"/>
  <c r="BG77" i="26" s="1"/>
  <c r="AK72" i="26"/>
  <c r="X72" i="26"/>
  <c r="AU74" i="26"/>
  <c r="AU78" i="26" s="1"/>
  <c r="AQ74" i="26"/>
  <c r="AQ78" i="26" s="1"/>
  <c r="BV74" i="26"/>
  <c r="BV78" i="26" s="1"/>
  <c r="BD72" i="26"/>
  <c r="BG74" i="26"/>
  <c r="BG78" i="26" s="1"/>
  <c r="BM72" i="26"/>
  <c r="BT72" i="26"/>
  <c r="BX72" i="26"/>
  <c r="BW74" i="26"/>
  <c r="BW78" i="26" s="1"/>
  <c r="BA74" i="26"/>
  <c r="BA78" i="26" s="1"/>
  <c r="CC74" i="26"/>
  <c r="CC78" i="26" s="1"/>
  <c r="P74" i="26"/>
  <c r="P78" i="26" s="1"/>
  <c r="CW72" i="26"/>
  <c r="AH73" i="26"/>
  <c r="AH77" i="26" s="1"/>
  <c r="CN74" i="26"/>
  <c r="CN78" i="26" s="1"/>
  <c r="L74" i="26"/>
  <c r="L78" i="26" s="1"/>
  <c r="AE73" i="26"/>
  <c r="AE77" i="26" s="1"/>
  <c r="BN73" i="26"/>
  <c r="BN77" i="26" s="1"/>
  <c r="Y72" i="26"/>
  <c r="F73" i="26"/>
  <c r="F77" i="26" s="1"/>
  <c r="K74" i="26"/>
  <c r="K78" i="26" s="1"/>
  <c r="CJ74" i="26"/>
  <c r="CJ78" i="26" s="1"/>
  <c r="H74" i="26"/>
  <c r="H78" i="26" s="1"/>
  <c r="AA73" i="26"/>
  <c r="AA77" i="26" s="1"/>
  <c r="CD73" i="26"/>
  <c r="CD77" i="26" s="1"/>
  <c r="J73" i="26"/>
  <c r="J77" i="26" s="1"/>
  <c r="CO73" i="26"/>
  <c r="CO77" i="26" s="1"/>
  <c r="N73" i="26"/>
  <c r="N77" i="26" s="1"/>
  <c r="BI73" i="26"/>
  <c r="BI77" i="26" s="1"/>
  <c r="S73" i="26"/>
  <c r="S77" i="26" s="1"/>
  <c r="AA74" i="26"/>
  <c r="AA78" i="26" s="1"/>
  <c r="P72" i="26"/>
  <c r="CQ73" i="26"/>
  <c r="CQ77" i="26" s="1"/>
  <c r="Y73" i="26"/>
  <c r="Y77" i="26" s="1"/>
  <c r="CM73" i="26"/>
  <c r="CM77" i="26" s="1"/>
  <c r="AD73" i="26"/>
  <c r="AD77" i="26" s="1"/>
  <c r="BP74" i="26"/>
  <c r="BP78" i="26" s="1"/>
  <c r="AJ73" i="26"/>
  <c r="AJ77" i="26" s="1"/>
  <c r="CT73" i="26"/>
  <c r="CT77" i="26" s="1"/>
  <c r="AJ72" i="26"/>
  <c r="BE72" i="26"/>
  <c r="AT73" i="26"/>
  <c r="AT77" i="26" s="1"/>
  <c r="BB74" i="26"/>
  <c r="BB78" i="26" s="1"/>
  <c r="O74" i="26"/>
  <c r="O78" i="26" s="1"/>
  <c r="CG74" i="26"/>
  <c r="CG78" i="26" s="1"/>
  <c r="BL72" i="26"/>
  <c r="BS73" i="26"/>
  <c r="BS77" i="26" s="1"/>
  <c r="BP72" i="26"/>
  <c r="BH72" i="26"/>
  <c r="BJ73" i="26"/>
  <c r="BJ77" i="26" s="1"/>
  <c r="BU72" i="26"/>
  <c r="CB72" i="26"/>
  <c r="CJ72" i="26"/>
  <c r="BY72" i="26"/>
  <c r="BT73" i="26"/>
  <c r="BT77" i="26" s="1"/>
  <c r="U74" i="26"/>
  <c r="U78" i="26" s="1"/>
  <c r="L72" i="26"/>
  <c r="AN72" i="26"/>
  <c r="BL74" i="26"/>
  <c r="BL78" i="26" s="1"/>
  <c r="BF74" i="26"/>
  <c r="BF78" i="26" s="1"/>
  <c r="AO73" i="26"/>
  <c r="AO77" i="26" s="1"/>
  <c r="AV72" i="26"/>
  <c r="CA73" i="26"/>
  <c r="CA77" i="26" s="1"/>
  <c r="AR72" i="26"/>
  <c r="AZ73" i="26"/>
  <c r="AZ77" i="26" s="1"/>
  <c r="CW74" i="26"/>
  <c r="CW78" i="26" s="1"/>
  <c r="BO73" i="26"/>
  <c r="BO77" i="26" s="1"/>
  <c r="BK73" i="26"/>
  <c r="BK77" i="26" s="1"/>
  <c r="BP73" i="26"/>
  <c r="BP77" i="26" s="1"/>
  <c r="AN74" i="26"/>
  <c r="AN78" i="26" s="1"/>
  <c r="BU73" i="26"/>
  <c r="BU77" i="26" s="1"/>
  <c r="D100" i="14"/>
  <c r="G99" i="14" s="1"/>
  <c r="E30" i="3"/>
  <c r="F30" i="3" s="1"/>
  <c r="B10" i="26" s="1"/>
  <c r="B11" i="26" s="1"/>
  <c r="E99" i="14"/>
  <c r="G17" i="24" s="1"/>
  <c r="B30" i="3"/>
  <c r="CS76" i="26" l="1"/>
  <c r="CS79" i="26"/>
  <c r="Y76" i="26"/>
  <c r="Y79" i="26"/>
  <c r="H76" i="26"/>
  <c r="H79" i="26"/>
  <c r="BN79" i="26"/>
  <c r="BN76" i="26"/>
  <c r="AQ76" i="26"/>
  <c r="AQ79" i="26"/>
  <c r="BY76" i="26"/>
  <c r="BY79" i="26"/>
  <c r="CE76" i="26"/>
  <c r="CE79" i="26"/>
  <c r="AA76" i="26"/>
  <c r="AA79" i="26"/>
  <c r="AU79" i="26"/>
  <c r="AU76" i="26"/>
  <c r="AO76" i="26"/>
  <c r="AO79" i="26"/>
  <c r="M76" i="26"/>
  <c r="M79" i="26"/>
  <c r="CW76" i="26"/>
  <c r="CW79" i="26"/>
  <c r="AC76" i="26"/>
  <c r="AC79" i="26"/>
  <c r="I76" i="26"/>
  <c r="I79" i="26"/>
  <c r="CK76" i="26"/>
  <c r="CK79" i="26"/>
  <c r="BW79" i="26"/>
  <c r="BW76" i="26"/>
  <c r="CI79" i="26"/>
  <c r="CI76" i="26"/>
  <c r="CZ77" i="26"/>
  <c r="C15" i="26" s="1"/>
  <c r="AD76" i="26"/>
  <c r="AD79" i="26"/>
  <c r="AP76" i="26"/>
  <c r="AP79" i="26"/>
  <c r="CX79" i="26"/>
  <c r="CX76" i="26"/>
  <c r="AR76" i="26"/>
  <c r="AR79" i="26"/>
  <c r="CN76" i="26"/>
  <c r="CN79" i="26"/>
  <c r="CF76" i="26"/>
  <c r="CF79" i="26"/>
  <c r="AJ76" i="26"/>
  <c r="AJ79" i="26"/>
  <c r="L76" i="26"/>
  <c r="L79" i="26"/>
  <c r="AL79" i="26"/>
  <c r="AL76" i="26"/>
  <c r="CP76" i="26"/>
  <c r="CP79" i="26"/>
  <c r="P76" i="26"/>
  <c r="P79" i="26"/>
  <c r="T76" i="26"/>
  <c r="T79" i="26"/>
  <c r="AI79" i="26"/>
  <c r="AI76" i="26"/>
  <c r="BA76" i="26"/>
  <c r="BA79" i="26"/>
  <c r="U76" i="26"/>
  <c r="U79" i="26"/>
  <c r="CV76" i="26"/>
  <c r="CV79" i="26"/>
  <c r="AM76" i="26"/>
  <c r="AM79" i="26"/>
  <c r="CM79" i="26"/>
  <c r="CM76" i="26"/>
  <c r="AE79" i="26"/>
  <c r="AE76" i="26"/>
  <c r="X76" i="26"/>
  <c r="X79" i="26"/>
  <c r="N76" i="26"/>
  <c r="N79" i="26"/>
  <c r="AG76" i="26"/>
  <c r="AG79" i="26"/>
  <c r="CB76" i="26"/>
  <c r="CB79" i="26"/>
  <c r="CA79" i="26"/>
  <c r="CA76" i="26"/>
  <c r="CZ78" i="26"/>
  <c r="C17" i="26" s="1"/>
  <c r="H27" i="24" s="1"/>
  <c r="H29" i="24" s="1"/>
  <c r="H31" i="24" s="1"/>
  <c r="BH76" i="26"/>
  <c r="BH79" i="26"/>
  <c r="AF76" i="26"/>
  <c r="AF79" i="26"/>
  <c r="F76" i="26"/>
  <c r="F79" i="26"/>
  <c r="AX79" i="26"/>
  <c r="AX76" i="26"/>
  <c r="R76" i="26"/>
  <c r="R79" i="26"/>
  <c r="J76" i="26"/>
  <c r="J79" i="26"/>
  <c r="BZ79" i="26"/>
  <c r="BZ76" i="26"/>
  <c r="BE76" i="26"/>
  <c r="BE79" i="26"/>
  <c r="BO76" i="26"/>
  <c r="BO79" i="26"/>
  <c r="V79" i="26"/>
  <c r="V76" i="26"/>
  <c r="CO76" i="26"/>
  <c r="CO79" i="26"/>
  <c r="BJ76" i="26"/>
  <c r="BJ79" i="26"/>
  <c r="CJ76" i="26"/>
  <c r="CJ79" i="26"/>
  <c r="BR79" i="26"/>
  <c r="BR76" i="26"/>
  <c r="BP76" i="26"/>
  <c r="BP79" i="26"/>
  <c r="BX76" i="26"/>
  <c r="BX79" i="26"/>
  <c r="AW76" i="26"/>
  <c r="AW79" i="26"/>
  <c r="CG76" i="26"/>
  <c r="CG79" i="26"/>
  <c r="AS76" i="26"/>
  <c r="AS79" i="26"/>
  <c r="CD79" i="26"/>
  <c r="CD76" i="26"/>
  <c r="AT76" i="26"/>
  <c r="AT79" i="26"/>
  <c r="BF79" i="26"/>
  <c r="BF76" i="26"/>
  <c r="K76" i="26"/>
  <c r="K79" i="26"/>
  <c r="AY79" i="26"/>
  <c r="AY76" i="26"/>
  <c r="Q76" i="26"/>
  <c r="Q79" i="26"/>
  <c r="AV76" i="26"/>
  <c r="AV79" i="26"/>
  <c r="BG76" i="26"/>
  <c r="BG79" i="26"/>
  <c r="BQ76" i="26"/>
  <c r="BQ79" i="26"/>
  <c r="AH76" i="26"/>
  <c r="AH79" i="26"/>
  <c r="AZ76" i="26"/>
  <c r="AZ79" i="26"/>
  <c r="BB79" i="26"/>
  <c r="BB76" i="26"/>
  <c r="AB76" i="26"/>
  <c r="AB79" i="26"/>
  <c r="BU76" i="26"/>
  <c r="BU79" i="26"/>
  <c r="BT76" i="26"/>
  <c r="BT79" i="26"/>
  <c r="CC76" i="26"/>
  <c r="CC79" i="26"/>
  <c r="CH79" i="26"/>
  <c r="CH76" i="26"/>
  <c r="CT79" i="26"/>
  <c r="CT76" i="26"/>
  <c r="O79" i="26"/>
  <c r="O76" i="26"/>
  <c r="G79" i="26"/>
  <c r="G76" i="26"/>
  <c r="BD76" i="26"/>
  <c r="BD79" i="26"/>
  <c r="BS76" i="26"/>
  <c r="BS79" i="26"/>
  <c r="AK76" i="26"/>
  <c r="AK79" i="26"/>
  <c r="BL76" i="26"/>
  <c r="BL79" i="26"/>
  <c r="BM76" i="26"/>
  <c r="BM79" i="26"/>
  <c r="CR76" i="26"/>
  <c r="CR79" i="26"/>
  <c r="BC76" i="26"/>
  <c r="BC79" i="26"/>
  <c r="CL76" i="26"/>
  <c r="CL79" i="26"/>
  <c r="CQ76" i="26"/>
  <c r="CQ79" i="26"/>
  <c r="S76" i="26"/>
  <c r="S79" i="26"/>
  <c r="CU76" i="26"/>
  <c r="CU79" i="26"/>
  <c r="W79" i="26"/>
  <c r="W76" i="26"/>
  <c r="BK79" i="26"/>
  <c r="BK76" i="26"/>
  <c r="CY76" i="26"/>
  <c r="CY79" i="26"/>
  <c r="BV76" i="26"/>
  <c r="BV79" i="26"/>
  <c r="AN76" i="26"/>
  <c r="AN79" i="26"/>
  <c r="BI76" i="26"/>
  <c r="BI79" i="26"/>
  <c r="Z79" i="26"/>
  <c r="Z76" i="26"/>
  <c r="E76" i="26"/>
  <c r="E79" i="26"/>
  <c r="K18" i="24"/>
  <c r="J17" i="24"/>
  <c r="E100" i="14"/>
  <c r="G19" i="24" s="1"/>
  <c r="I27" i="24" l="1"/>
  <c r="I29" i="24" s="1"/>
  <c r="I31" i="24" s="1"/>
  <c r="CZ76" i="26"/>
  <c r="K20" i="24"/>
  <c r="G100" i="14"/>
  <c r="C30" i="3"/>
  <c r="B9" i="26" s="1"/>
  <c r="CZ79" i="26" l="1"/>
  <c r="C16" i="26"/>
  <c r="B16" i="26" s="1"/>
  <c r="B15" i="26"/>
  <c r="B17" i="26"/>
  <c r="G21" i="24"/>
  <c r="K22" i="24" s="1"/>
  <c r="J19" i="24"/>
  <c r="I33" i="24"/>
  <c r="I34" i="24" s="1"/>
  <c r="G27" i="24" l="1"/>
  <c r="C18" i="26"/>
  <c r="J21" i="24"/>
  <c r="H33" i="24"/>
  <c r="H34" i="24" s="1"/>
  <c r="B20" i="26" l="1"/>
  <c r="B18" i="26"/>
  <c r="J27" i="24"/>
  <c r="J29" i="24" s="1"/>
  <c r="J31" i="24" s="1"/>
  <c r="J33" i="24" s="1"/>
  <c r="D35" i="24" s="1"/>
  <c r="G35" i="24" s="1"/>
  <c r="K28" i="24"/>
  <c r="G29" i="24"/>
  <c r="K30" i="24" s="1"/>
  <c r="G31" i="24" l="1"/>
  <c r="K32" i="24" s="1"/>
  <c r="G33" i="24"/>
  <c r="G34" i="24" s="1"/>
</calcChain>
</file>

<file path=xl/comments1.xml><?xml version="1.0" encoding="utf-8"?>
<comments xmlns="http://schemas.openxmlformats.org/spreadsheetml/2006/main">
  <authors>
    <author>contrabog</author>
  </authors>
  <commentList>
    <comment ref="B11" authorId="0" shapeId="0">
      <text>
        <r>
          <rPr>
            <b/>
            <sz val="9"/>
            <color indexed="81"/>
            <rFont val="Tahoma"/>
            <family val="2"/>
          </rPr>
          <t>contrabog:</t>
        </r>
        <r>
          <rPr>
            <sz val="9"/>
            <color indexed="81"/>
            <rFont val="Tahoma"/>
            <family val="2"/>
          </rPr>
          <t xml:space="preserve">
Diligenciar de conformidad con el nivel de desagregación que el auditor considere</t>
        </r>
      </text>
    </comment>
    <comment ref="C11" authorId="0" shapeId="0">
      <text>
        <r>
          <rPr>
            <b/>
            <sz val="9"/>
            <color indexed="81"/>
            <rFont val="Tahoma"/>
            <family val="2"/>
          </rPr>
          <t>contrabog:</t>
        </r>
        <r>
          <rPr>
            <sz val="9"/>
            <color indexed="81"/>
            <rFont val="Tahoma"/>
            <family val="2"/>
          </rPr>
          <t xml:space="preserve">
En caso que no cuente con los saldos a dic 31, deberá tomar los más próximos  a esa fecha y luego actualizarlo</t>
        </r>
      </text>
    </comment>
    <comment ref="R11" authorId="0" shapeId="0">
      <text>
        <r>
          <rPr>
            <b/>
            <sz val="9"/>
            <color rgb="FF000000"/>
            <rFont val="Tahoma"/>
            <family val="2"/>
          </rPr>
          <t>contrabog:</t>
        </r>
        <r>
          <rPr>
            <sz val="9"/>
            <color rgb="FF000000"/>
            <rFont val="Tahoma"/>
            <family val="2"/>
          </rPr>
          <t xml:space="preserve">
</t>
        </r>
        <r>
          <rPr>
            <sz val="9"/>
            <color rgb="FF000000"/>
            <rFont val="Tahoma"/>
            <family val="2"/>
          </rPr>
          <t xml:space="preserve">Traiga a esta celda el valor ($) 
</t>
        </r>
        <r>
          <rPr>
            <sz val="9"/>
            <color rgb="FF000000"/>
            <rFont val="Tahoma"/>
            <family val="2"/>
          </rPr>
          <t>tomado com muestra</t>
        </r>
      </text>
    </comment>
  </commentList>
</comments>
</file>

<file path=xl/comments2.xml><?xml version="1.0" encoding="utf-8"?>
<comments xmlns="http://schemas.openxmlformats.org/spreadsheetml/2006/main">
  <authors>
    <author>Omar Eduardo</author>
  </authors>
  <commentList>
    <comment ref="I18" authorId="0" shapeId="0">
      <text>
        <r>
          <rPr>
            <sz val="9"/>
            <color indexed="81"/>
            <rFont val="Tahoma"/>
            <family val="2"/>
          </rPr>
          <t>Efectividad=((Puntaje de eficiencia+Puntuaje de eficacia)/2)/. El porcentaje resultante reflejará el grado de efectividad del desempeño auditado</t>
        </r>
      </text>
    </comment>
  </commentList>
</comments>
</file>

<file path=xl/comments3.xml><?xml version="1.0" encoding="utf-8"?>
<comments xmlns="http://schemas.openxmlformats.org/spreadsheetml/2006/main">
  <authors>
    <author>Blanca Esmeralda Martin Moreno (CGR)</author>
    <author>FRANCISCO</author>
    <author>Francisco H Bejarano Caceres</author>
  </authors>
  <commentList>
    <comment ref="A18" authorId="0" shapeId="0">
      <text>
        <r>
          <rPr>
            <b/>
            <sz val="9"/>
            <color rgb="FF000000"/>
            <rFont val="Tahoma"/>
            <family val="2"/>
          </rPr>
          <t>Seleccione de las listas desplegables la opción que corresponda.</t>
        </r>
      </text>
    </comment>
    <comment ref="D25" authorId="1" shapeId="0">
      <text>
        <r>
          <rPr>
            <b/>
            <sz val="9"/>
            <color rgb="FF000000"/>
            <rFont val="Tahoma"/>
            <family val="2"/>
          </rPr>
          <t>I</t>
        </r>
        <r>
          <rPr>
            <sz val="9"/>
            <color rgb="FF000000"/>
            <rFont val="Tahoma"/>
            <family val="2"/>
          </rPr>
          <t xml:space="preserve">ngrese manualmente el porcentaje seleccionado. Debe coincidir con el rango de porcentaje calculado
</t>
        </r>
      </text>
    </comment>
    <comment ref="A52" authorId="0" shapeId="0">
      <text>
        <r>
          <rPr>
            <b/>
            <sz val="9"/>
            <color indexed="81"/>
            <rFont val="Tahoma"/>
            <family val="2"/>
          </rPr>
          <t>Escriba las razones por las cuales, según su juicio profesional, seleccionó el % y en caso de que se haya seleccionado con otro criterio diferente a los sugeridos, justifique.</t>
        </r>
      </text>
    </comment>
    <comment ref="A53" authorId="0" shapeId="0">
      <text>
        <r>
          <rPr>
            <b/>
            <sz val="9"/>
            <color rgb="FF000000"/>
            <rFont val="Tahoma"/>
            <family val="2"/>
          </rPr>
          <t xml:space="preserve">Escriba las razones por las cuales, según su juicio profesional, seleccionó el porcentaje
</t>
        </r>
        <r>
          <rPr>
            <b/>
            <sz val="9"/>
            <color rgb="FF000000"/>
            <rFont val="Tahoma"/>
            <family val="2"/>
          </rPr>
          <t xml:space="preserve"> y en caso de que el porcentaje se haya seleccionado con otro criterio diferente a los sugeridos, justifique.</t>
        </r>
      </text>
    </comment>
    <comment ref="A58" authorId="0" shapeId="0">
      <text>
        <r>
          <rPr>
            <sz val="9"/>
            <color indexed="81"/>
            <rFont val="Tahoma"/>
            <family val="2"/>
          </rPr>
          <t>Recuerde que esta materialidad no es obligatoria, si considera que no hay motivos para calcular una cualitativa, escriba "no se determinó materialidad cualitativa"</t>
        </r>
      </text>
    </comment>
    <comment ref="B60" authorId="2" shapeId="0">
      <text>
        <r>
          <rPr>
            <sz val="11"/>
            <color indexed="81"/>
            <rFont val="Tahoma"/>
            <family val="2"/>
          </rPr>
          <t>Ingrese el % de acuerdo al nivel del riesgo combinado</t>
        </r>
        <r>
          <rPr>
            <sz val="9"/>
            <color indexed="81"/>
            <rFont val="Tahoma"/>
            <family val="2"/>
          </rPr>
          <t xml:space="preserve">
</t>
        </r>
      </text>
    </comment>
    <comment ref="E60" authorId="2" shapeId="0">
      <text>
        <r>
          <rPr>
            <sz val="11"/>
            <color indexed="81"/>
            <rFont val="Tahoma"/>
            <family val="2"/>
          </rPr>
          <t xml:space="preserve">Ingresar el valor de la materialidad de planeación MP Cuantitativa de la Base seleccionada
</t>
        </r>
      </text>
    </comment>
    <comment ref="E70" authorId="2" shapeId="0">
      <text>
        <r>
          <rPr>
            <sz val="11"/>
            <color indexed="81"/>
            <rFont val="Tahoma"/>
            <family val="2"/>
          </rPr>
          <t>Ingresar el valor de la materialidad de planeación MP Cuantitativa de la Base seleccionada</t>
        </r>
        <r>
          <rPr>
            <sz val="14"/>
            <color indexed="81"/>
            <rFont val="Tahoma"/>
            <family val="2"/>
          </rPr>
          <t xml:space="preserve">
 </t>
        </r>
      </text>
    </comment>
    <comment ref="E74" authorId="2" shapeId="0">
      <text>
        <r>
          <rPr>
            <sz val="11"/>
            <color indexed="81"/>
            <rFont val="Tahoma"/>
            <family val="2"/>
          </rPr>
          <t xml:space="preserve">Ingresar el valor del saldo, transacción u operación </t>
        </r>
        <r>
          <rPr>
            <sz val="14"/>
            <color indexed="81"/>
            <rFont val="Tahoma"/>
            <family val="2"/>
          </rPr>
          <t xml:space="preserve">
</t>
        </r>
      </text>
    </comment>
  </commentList>
</comments>
</file>

<file path=xl/comments4.xml><?xml version="1.0" encoding="utf-8"?>
<comments xmlns="http://schemas.openxmlformats.org/spreadsheetml/2006/main">
  <authors>
    <author>USER</author>
    <author>contrabog</author>
    <author xml:space="preserve"> </author>
  </authors>
  <commentList>
    <comment ref="D11" authorId="0" shapeId="0">
      <text>
        <r>
          <rPr>
            <b/>
            <sz val="9"/>
            <color rgb="FF000000"/>
            <rFont val="Tahoma"/>
            <family val="2"/>
          </rPr>
          <t>USER:</t>
        </r>
        <r>
          <rPr>
            <sz val="9"/>
            <color rgb="FF000000"/>
            <rFont val="Tahoma"/>
            <family val="2"/>
          </rPr>
          <t xml:space="preserve">
Seleccione de la lista desplegable el proceso que le aplique y diligencie según el caso.</t>
        </r>
      </text>
    </comment>
    <comment ref="F16" authorId="1" shapeId="0">
      <text>
        <r>
          <rPr>
            <b/>
            <sz val="9"/>
            <color indexed="81"/>
            <rFont val="Tahoma"/>
            <family val="2"/>
          </rPr>
          <t>contrabog:</t>
        </r>
        <r>
          <rPr>
            <sz val="9"/>
            <color indexed="81"/>
            <rFont val="Tahoma"/>
            <family val="2"/>
          </rPr>
          <t xml:space="preserve">
Lista desplegable</t>
        </r>
      </text>
    </comment>
    <comment ref="G16" authorId="1" shapeId="0">
      <text>
        <r>
          <rPr>
            <b/>
            <sz val="9"/>
            <color indexed="81"/>
            <rFont val="Tahoma"/>
            <family val="2"/>
          </rPr>
          <t>contrabog:</t>
        </r>
        <r>
          <rPr>
            <sz val="9"/>
            <color indexed="81"/>
            <rFont val="Tahoma"/>
            <family val="2"/>
          </rPr>
          <t xml:space="preserve">
Lista desplegable</t>
        </r>
      </text>
    </comment>
    <comment ref="H23" authorId="2" shapeId="0">
      <text>
        <r>
          <rPr>
            <b/>
            <sz val="8"/>
            <color rgb="FF000000"/>
            <rFont val="Tahoma"/>
            <family val="2"/>
          </rPr>
          <t xml:space="preserve">Se ingresa la meta en la unidad de medida correspondiente (ej  meta 1200 cupos </t>
        </r>
      </text>
    </comment>
    <comment ref="I23" authorId="2" shapeId="0">
      <text>
        <r>
          <rPr>
            <b/>
            <sz val="8"/>
            <color indexed="81"/>
            <rFont val="Tahoma"/>
            <family val="2"/>
          </rPr>
          <t xml:space="preserve"> se incluye el resultado en la unidad de medida  correspondiente(ej se ejecutaron 800 cupos)
</t>
        </r>
        <r>
          <rPr>
            <sz val="8"/>
            <color indexed="81"/>
            <rFont val="Tahoma"/>
            <family val="2"/>
          </rPr>
          <t xml:space="preserve">
</t>
        </r>
      </text>
    </comment>
    <comment ref="N23" authorId="2" shapeId="0">
      <text>
        <r>
          <rPr>
            <b/>
            <sz val="10"/>
            <color indexed="81"/>
            <rFont val="Tahoma"/>
            <family val="2"/>
          </rPr>
          <t>Presupuesto inicial prramadado</t>
        </r>
      </text>
    </comment>
    <comment ref="O23" authorId="2" shapeId="0">
      <text>
        <r>
          <rPr>
            <b/>
            <sz val="10"/>
            <color indexed="81"/>
            <rFont val="Tahoma"/>
            <family val="2"/>
          </rPr>
          <t>Presupuesto ejecutado o contratado.</t>
        </r>
      </text>
    </comment>
    <comment ref="Q23" authorId="2" shapeId="0">
      <text>
        <r>
          <rPr>
            <sz val="10"/>
            <color rgb="FF000000"/>
            <rFont val="Tahoma"/>
            <family val="2"/>
          </rPr>
          <t>Tiempo Programado para alcanzar la meta, según Plan Estratégico,proyecto o plan de acción</t>
        </r>
      </text>
    </comment>
    <comment ref="R23" authorId="2" shapeId="0">
      <text>
        <r>
          <rPr>
            <b/>
            <sz val="10"/>
            <color indexed="81"/>
            <rFont val="Tahoma"/>
            <family val="2"/>
          </rPr>
          <t xml:space="preserve"> : </t>
        </r>
        <r>
          <rPr>
            <sz val="10"/>
            <color indexed="81"/>
            <rFont val="Tahoma"/>
            <family val="2"/>
          </rPr>
          <t>Tiempo en que se logró la meta propuesta.</t>
        </r>
      </text>
    </comment>
    <comment ref="T23" authorId="2" shapeId="0">
      <text>
        <r>
          <rPr>
            <b/>
            <sz val="10"/>
            <color indexed="81"/>
            <rFont val="Tahoma"/>
            <family val="2"/>
          </rPr>
          <t>Presupuesto ejecutado o contratado.</t>
        </r>
      </text>
    </comment>
    <comment ref="U23" authorId="2" shapeId="0">
      <text>
        <r>
          <rPr>
            <b/>
            <sz val="10"/>
            <color rgb="FF000000"/>
            <rFont val="Tahoma"/>
            <family val="2"/>
          </rPr>
          <t>Giros</t>
        </r>
      </text>
    </comment>
  </commentList>
</comments>
</file>

<file path=xl/comments5.xml><?xml version="1.0" encoding="utf-8"?>
<comments xmlns="http://schemas.openxmlformats.org/spreadsheetml/2006/main">
  <authors>
    <author>Omar Eduardo</author>
  </authors>
  <commentList>
    <comment ref="N24" authorId="0" shapeId="0">
      <text>
        <r>
          <rPr>
            <sz val="9"/>
            <color indexed="81"/>
            <rFont val="Tahoma"/>
            <family val="2"/>
          </rPr>
          <t xml:space="preserve">CUANDO CORRESPONDA </t>
        </r>
      </text>
    </comment>
  </commentList>
</comments>
</file>

<file path=xl/comments6.xml><?xml version="1.0" encoding="utf-8"?>
<comments xmlns="http://schemas.openxmlformats.org/spreadsheetml/2006/main">
  <authors>
    <author>Contraloria</author>
    <author>tc={B83077C8-393B-4D90-9BB8-29A66010062B}</author>
  </authors>
  <commentList>
    <comment ref="F23" authorId="0" shapeId="0">
      <text>
        <r>
          <rPr>
            <b/>
            <sz val="9"/>
            <color indexed="81"/>
            <rFont val="Tahoma"/>
            <family val="2"/>
          </rPr>
          <t>Contraloria: SELECCIONE DE LA LISTA DESPLEGABLE LA VALORACIÓN OBTENIDA DE LA MATRIZ DE RIESGO Y CONTROLES PARA EL PROCESO DE GASTO PUBLICO (I17)</t>
        </r>
      </text>
    </comment>
    <comment ref="F28" authorId="1" shapeId="0">
      <text>
        <r>
          <rPr>
            <sz val="11"/>
            <color theme="1"/>
            <rFont val="Calibri"/>
            <family val="2"/>
            <scheme val="minor"/>
          </rPr>
          <t xml:space="preserve">Si no es posible cumplir con el tamaño mínimo de la muestra, dejar justificación en el Plan de Trabajo. </t>
        </r>
      </text>
    </comment>
    <comment ref="I65" authorId="0" shapeId="0">
      <text>
        <r>
          <rPr>
            <b/>
            <sz val="9"/>
            <color indexed="81"/>
            <rFont val="Tahoma"/>
            <family val="2"/>
          </rPr>
          <t>Contraloria:</t>
        </r>
        <r>
          <rPr>
            <sz val="9"/>
            <color indexed="81"/>
            <rFont val="Tahoma"/>
            <family val="2"/>
          </rPr>
          <t xml:space="preserve">
TRAER VALOR DE LA MATRIZ DE RIESGO FISCAL. O DE LA MATRIZ DE RIESGO CONTROL FISCAL INTERNO</t>
        </r>
      </text>
    </comment>
  </commentList>
</comments>
</file>

<file path=xl/comments7.xml><?xml version="1.0" encoding="utf-8"?>
<comments xmlns="http://schemas.openxmlformats.org/spreadsheetml/2006/main">
  <authors>
    <author>Roberto Jimenez Rodriguez</author>
    <author>administrador</author>
  </authors>
  <commentList>
    <comment ref="B11" authorId="0" shapeId="0">
      <text>
        <r>
          <rPr>
            <b/>
            <sz val="9"/>
            <color indexed="81"/>
            <rFont val="Tahoma"/>
            <family val="2"/>
          </rPr>
          <t>Roberto Jimenez Rodriguez:</t>
        </r>
        <r>
          <rPr>
            <sz val="9"/>
            <color indexed="81"/>
            <rFont val="Tahoma"/>
            <family val="2"/>
          </rPr>
          <t xml:space="preserve">
OCULTAR ESTA INFORMACIÓN
</t>
        </r>
      </text>
    </comment>
    <comment ref="D21" authorId="1" shapeId="0">
      <text>
        <r>
          <rPr>
            <b/>
            <sz val="9"/>
            <color indexed="81"/>
            <rFont val="Tahoma"/>
            <family val="2"/>
          </rPr>
          <t>Administrador:</t>
        </r>
        <r>
          <rPr>
            <sz val="9"/>
            <color indexed="81"/>
            <rFont val="Tahoma"/>
            <family val="2"/>
          </rPr>
          <t xml:space="preserve">
La lectura del Resultado debe interprestarse de acuerdo con la Naturaleza Juridica del Sujeto de Control Fiscal y su Régimen de Contratación Aplicable.</t>
        </r>
      </text>
    </comment>
  </commentList>
</comments>
</file>

<file path=xl/sharedStrings.xml><?xml version="1.0" encoding="utf-8"?>
<sst xmlns="http://schemas.openxmlformats.org/spreadsheetml/2006/main" count="4394" uniqueCount="1866">
  <si>
    <t>Dirección Sectorial:</t>
  </si>
  <si>
    <t>Sujeto de Control auditado:</t>
  </si>
  <si>
    <t>Vigencia auditada:</t>
  </si>
  <si>
    <t>Código Auditoría:</t>
  </si>
  <si>
    <t>Fecha de elaboración:</t>
  </si>
  <si>
    <t>Fecha de revisión</t>
  </si>
  <si>
    <t>CONTRATOS SUSCRITOS EN LA VIGENCIA AUDITAR</t>
  </si>
  <si>
    <t>MODALIDAD DE SELECCIÓN</t>
  </si>
  <si>
    <t>CANTIDAD CONTRATOS SUSCRITOS</t>
  </si>
  <si>
    <t>VALOR CONTRATOS</t>
  </si>
  <si>
    <t>% DEL VALOR TOTAL</t>
  </si>
  <si>
    <t>PAGOS REALIZADOS EN LA VIGENCIA A AUDITAR</t>
  </si>
  <si>
    <t>% DE PAGOS
(Total Pagado / Total Valor Contratos)</t>
  </si>
  <si>
    <t>1 LICITACIÓN PÚBLICA</t>
  </si>
  <si>
    <t>1 Licitación pública</t>
  </si>
  <si>
    <t>2 SELECCIÓN ABREVIADA</t>
  </si>
  <si>
    <t>2 Selección abreviada</t>
  </si>
  <si>
    <t>3 CONCURSO DE MÉRITOS</t>
  </si>
  <si>
    <t>3 Concurso de méritos</t>
  </si>
  <si>
    <t>4 MÍNIMA CUANTÍA</t>
  </si>
  <si>
    <t>4 Mínima cuantía</t>
  </si>
  <si>
    <t>5 CONTRATACIÓN DIRECTA</t>
  </si>
  <si>
    <t>5 Contratación directa</t>
  </si>
  <si>
    <t>6 CONTRATACIÓN DIRECTA POR URGENCIA MANIFIESTA</t>
  </si>
  <si>
    <t>6 Contratación directa por Urgencia Manifiesta</t>
  </si>
  <si>
    <t>7 CONVOCATORIA PÚBLICA</t>
  </si>
  <si>
    <t>7 Convocatoria pública</t>
  </si>
  <si>
    <t>8 OTRA REGIMEN ESPECIAL</t>
  </si>
  <si>
    <t>8 Otra Regimen Especial</t>
  </si>
  <si>
    <t>9 INVITACIÓN DIRECTA</t>
  </si>
  <si>
    <t>9 Invitación Directa</t>
  </si>
  <si>
    <t>10 INVITACIÓN PÚBLICA</t>
  </si>
  <si>
    <t>10 Invitación Pública</t>
  </si>
  <si>
    <t>11 INVITACIÓN CERRADA</t>
  </si>
  <si>
    <t>11 Invitación Cerrada</t>
  </si>
  <si>
    <t>TOTAL</t>
  </si>
  <si>
    <t>Fuente: SIVICOF
Nota: Eliminar las filas de las modalidades de selección donde no aplique o no se tengan datos</t>
  </si>
  <si>
    <t>TIPOLOGIA</t>
  </si>
  <si>
    <t xml:space="preserve"> 10-CONTRATO DE OBRA</t>
  </si>
  <si>
    <t xml:space="preserve"> 21-CONSULTORÍA (INTERVENTORÍA)</t>
  </si>
  <si>
    <t xml:space="preserve"> 22-CONSULTORÍA (GERENCIA DE OBRA)</t>
  </si>
  <si>
    <t xml:space="preserve"> 23-CONSULTORÍA (GERENCIA DE PROYECTO)</t>
  </si>
  <si>
    <t xml:space="preserve"> 24-CONSULTORÍA (ESTUDIOS Y DISEÑOS TECNICOS)</t>
  </si>
  <si>
    <t xml:space="preserve"> 25-CONSULTORÍA (ESTUDIOS DE PREFACTIBILIDAD Y FACTIBILIDAD)</t>
  </si>
  <si>
    <t xml:space="preserve"> 26-CONSULTORÍA (ASESORÍA TÉCNICA)</t>
  </si>
  <si>
    <t xml:space="preserve"> 29-CONSULTORÍA (OTROS)</t>
  </si>
  <si>
    <t xml:space="preserve"> 30-SERVICIOS DE MANTENIMIENTO Y/O REPARACIÓN</t>
  </si>
  <si>
    <t xml:space="preserve"> 31-SERVICIOS PROFESIONALES</t>
  </si>
  <si>
    <t xml:space="preserve"> 32-SERVICIOS ARTÍSTICOS</t>
  </si>
  <si>
    <t xml:space="preserve"> 33-SERVICIOS APOYO A LA GESTION DE LA ENTIDAD (SERVICIOS ADMINISTRATI</t>
  </si>
  <si>
    <t xml:space="preserve"> 34-SERVICIOS ASISTENCIALES DE SALUD</t>
  </si>
  <si>
    <t xml:space="preserve"> 35-SERVICIOS DE COMUNICACIONES</t>
  </si>
  <si>
    <t xml:space="preserve"> 36-SERVICIOS DE EDICIÓN</t>
  </si>
  <si>
    <t xml:space="preserve"> 37-SERVICIOS DE IMPRESIÓN</t>
  </si>
  <si>
    <t xml:space="preserve"> 38-SERVICIOS DE PUBLICACIÓN</t>
  </si>
  <si>
    <t xml:space="preserve"> 39-SERVICIOS DE CAPACITACIÓN</t>
  </si>
  <si>
    <t xml:space="preserve"> 40-SERVICIOS DE OUTSOURCING</t>
  </si>
  <si>
    <t xml:space="preserve"> 41-DESARROLLO DE PROYECTOS CULTURALES</t>
  </si>
  <si>
    <t xml:space="preserve"> 42-SUMINISTRO DE BIENES EN GENERAL</t>
  </si>
  <si>
    <t xml:space="preserve"> 43-SUMINISTRO DE SERVICIO DE VIGILANCIA</t>
  </si>
  <si>
    <t xml:space="preserve"> 44-SUMINISTRO DE SERVICIO DE ASEO</t>
  </si>
  <si>
    <t xml:space="preserve"> 45-SUMUNISTRO DE ALIMENTOS</t>
  </si>
  <si>
    <t xml:space="preserve"> 46-SUMUNISTRO DE MEDICAMENTOS</t>
  </si>
  <si>
    <t xml:space="preserve"> 48-OTROS SUMINISTROS</t>
  </si>
  <si>
    <t xml:space="preserve"> 49-OTROS SERVICIOS</t>
  </si>
  <si>
    <t xml:space="preserve"> 50-SERVICIOS DE TRANSPORTE</t>
  </si>
  <si>
    <t xml:space="preserve"> 51-CONCESIÓN (ADMINISTRACIÓN DE BIENES)</t>
  </si>
  <si>
    <t xml:space="preserve"> 52-CONCESIÓN (SERVICIOS PÚBLICOS DOMICILIARIOS)</t>
  </si>
  <si>
    <t xml:space="preserve"> 54-CONCESIÓN (SERVICIOS DE SALUD)</t>
  </si>
  <si>
    <t xml:space="preserve"> 55-CONCESIÓN (OBRA PÚBLICA)</t>
  </si>
  <si>
    <t xml:space="preserve"> 59-CONCESIÓN (OTROS)</t>
  </si>
  <si>
    <t xml:space="preserve"> 61-CONTRATO DE FIDUCIA O ENCARGO FIDUCIARIO</t>
  </si>
  <si>
    <t xml:space="preserve"> 62-CONTRATO DE ADMINISTRACIÓN PROFESIONAL DE ACCIONES</t>
  </si>
  <si>
    <t xml:space="preserve"> 63-LEASING</t>
  </si>
  <si>
    <t xml:space="preserve"> 65-DEPÓSITOS</t>
  </si>
  <si>
    <t xml:space="preserve"> 69-OTRO TIPO DE CONTRATO FINANCIERO</t>
  </si>
  <si>
    <t xml:space="preserve"> 71-CORRETAJE O INTERMEDIACIÓN DE SEGUROS</t>
  </si>
  <si>
    <t xml:space="preserve"> 72-CONTRATO DE SEGUROS</t>
  </si>
  <si>
    <t xml:space="preserve"> 79-OTRO TIPO DE CONTRATO DE SEGUROS</t>
  </si>
  <si>
    <t xml:space="preserve"> 81-ADMINISTRACIÓN Y CUSTODIA DE BONOS DEL PROGRAMA</t>
  </si>
  <si>
    <t xml:space="preserve"> 84-ADMINISTRACIÓN Y CUSTODIA DE VALORES</t>
  </si>
  <si>
    <t xml:space="preserve"> 86-REPRESENTACIÓN DE TENEDORES DE BONOS</t>
  </si>
  <si>
    <t xml:space="preserve"> 99-OTROS CONTRATOS DE TÍTULOS VALORES</t>
  </si>
  <si>
    <t xml:space="preserve"> 119-OTROS CONTRATOS DE ASOCIACIÓN</t>
  </si>
  <si>
    <t xml:space="preserve"> 121-COMPRAVENTA (BIENES MUEBLES)</t>
  </si>
  <si>
    <t xml:space="preserve"> 122-COMPRAVENTA (BIENES INMUEBLES)</t>
  </si>
  <si>
    <t xml:space="preserve"> 131-ARRENDAMIENTO DE BIENES MUEBLES</t>
  </si>
  <si>
    <t xml:space="preserve"> 132-ARRENDAMIENTO DE BIENES INMUEBLES</t>
  </si>
  <si>
    <t xml:space="preserve"> 133-ADMINISTRACIÓN Y ENAJENACIÓN DE INMUEBLES</t>
  </si>
  <si>
    <t xml:space="preserve"> 161-DERECHOS DE AUTOR O PROPIEDAD INTELECTUAL</t>
  </si>
  <si>
    <t xml:space="preserve"> 162-DERECHOS DE PROPIEDAD INDUSTRIAL</t>
  </si>
  <si>
    <t xml:space="preserve"> 164-TRANSFERENCIA DE TECNOLOGÍA</t>
  </si>
  <si>
    <t xml:space="preserve"> 169-OTRO TIPO DE CONTRATO DE DERECHOS DE PROPIEDAD</t>
  </si>
  <si>
    <t xml:space="preserve"> 201-CONVENIO DE COOPERACIÓN Y ASISTENCIA TÉCNICA</t>
  </si>
  <si>
    <t xml:space="preserve"> 209-OTROS CONTRATOS CON ORGANISMOS MULTILATERALES</t>
  </si>
  <si>
    <t xml:space="preserve"> 211-CONVENIO INTERADMINISTRATIVO</t>
  </si>
  <si>
    <t xml:space="preserve"> 212-CONVENIO INTERADMINISTRATIVO DE COFINANCIACIÓN</t>
  </si>
  <si>
    <t xml:space="preserve"> 213-CONVENIO ADMINISTRATIVO</t>
  </si>
  <si>
    <t xml:space="preserve"> 219-OTROS TIPO DE CONVENIOS</t>
  </si>
  <si>
    <t xml:space="preserve"> 901-PERMUTA DE BIENES MUEBLES</t>
  </si>
  <si>
    <t xml:space="preserve"> 903-MANDATO</t>
  </si>
  <si>
    <t xml:space="preserve"> 904-COMODATO</t>
  </si>
  <si>
    <t xml:space="preserve"> 906-DONACIÓN</t>
  </si>
  <si>
    <t xml:space="preserve"> 907-CESIÓN</t>
  </si>
  <si>
    <t xml:space="preserve"> 908-APROVECHAMIENTO ECONOMICO (DEPORTES)</t>
  </si>
  <si>
    <t xml:space="preserve"> 909-SUSCRIPCIONES, AFILIACIONES</t>
  </si>
  <si>
    <t xml:space="preserve"> 910-CONTRATO DE ADM/ON. MANTENIM. Y APROVECH. ECONÓMICO DEL ESPACIO P</t>
  </si>
  <si>
    <t xml:space="preserve"> 911-CONTRATO INTERADMINISTRATIVO</t>
  </si>
  <si>
    <t xml:space="preserve"> 912-ADMINISTRACION DE RECURSOS DEL REGIMEN SUBSIDIADO</t>
  </si>
  <si>
    <t xml:space="preserve"> 999-OTRO TIPO DE NATURALEZA DE CONTRATOS</t>
  </si>
  <si>
    <t>Nota: Eliminar las filas de las tipologías de contratación donde no aplique o no se tengan datos</t>
  </si>
  <si>
    <t>AÑO SUSCRIPCIÓN CONTRATOS</t>
  </si>
  <si>
    <t>….</t>
  </si>
  <si>
    <t>VR. PAGADO</t>
  </si>
  <si>
    <t>VALOR ADICIONADO EN LA VIGENCIA A AUDITAR</t>
  </si>
  <si>
    <t>Gastos de personal</t>
  </si>
  <si>
    <t>Adquisición de bienes y servicios</t>
  </si>
  <si>
    <t>Gerente - Lider:</t>
  </si>
  <si>
    <t>Dirección Sector:</t>
  </si>
  <si>
    <t xml:space="preserve">210000 - DIRECCIÓN SECTOR SERVICIOS PÚBLICOS </t>
  </si>
  <si>
    <t>269 - Agencia de Analítica de Datos SAS - AGATA</t>
  </si>
  <si>
    <t>Vigencia Auditada:</t>
  </si>
  <si>
    <t>Fecha de revisión:</t>
  </si>
  <si>
    <t>MONTO</t>
  </si>
  <si>
    <t>AUDITORÍA FINANCIERA Y DE GESTIÓN (o de Regularidad) ANTERIOR</t>
  </si>
  <si>
    <t>AUDITORIA ACTUAL</t>
  </si>
  <si>
    <t>Hallazgos configurados en la auditoría anterior - Proceso de Gasto Público</t>
  </si>
  <si>
    <t>Concepto del Proceso de Gasto Público de la auditoría anterior</t>
  </si>
  <si>
    <t>Calificación del Control Fiscal Interno de la auditoría anterior del Proceso de Gasto Público</t>
  </si>
  <si>
    <t>Valoración del Riesgo Residual o Combinado de la vigencia auditar del Proceso de Gasto Público</t>
  </si>
  <si>
    <t>Hallazgos con Incidencia Fiscal o con Presunta Incidencia Penal</t>
  </si>
  <si>
    <t>Inefectivo</t>
  </si>
  <si>
    <t>Con deficiencias</t>
  </si>
  <si>
    <t>Medio</t>
  </si>
  <si>
    <t>Porcentaje de Materialidad</t>
  </si>
  <si>
    <t>Parámetro para Concepto según Materialidad (100% - % Materialidad)</t>
  </si>
  <si>
    <t>Porcentaje de Muestreo Mínimo según Nivel de Riesgo</t>
  </si>
  <si>
    <t>Tamaño Mínimo de la Muestra</t>
  </si>
  <si>
    <t>Hallazgos vigencias anteriores?</t>
  </si>
  <si>
    <t>VALOR</t>
  </si>
  <si>
    <t>Conceptos Gasto vigencia anterior</t>
  </si>
  <si>
    <t>Universo</t>
  </si>
  <si>
    <t>Hallazgos con Presunta Incidencia Disciplinaria</t>
  </si>
  <si>
    <t>Moderadamente Efectivo</t>
  </si>
  <si>
    <t xml:space="preserve"> </t>
  </si>
  <si>
    <t>Hallazgos Administrativos</t>
  </si>
  <si>
    <t>Efectivo</t>
  </si>
  <si>
    <t>Sin hallazgos</t>
  </si>
  <si>
    <t>No hay</t>
  </si>
  <si>
    <t/>
  </si>
  <si>
    <t>Riesgo Residual período auditado</t>
  </si>
  <si>
    <t>Calificación CFI - Gasto Público</t>
  </si>
  <si>
    <t>Crítico</t>
  </si>
  <si>
    <t>Inexistente</t>
  </si>
  <si>
    <t>Alto</t>
  </si>
  <si>
    <t>Ineficiente</t>
  </si>
  <si>
    <t>Bajo</t>
  </si>
  <si>
    <t>Eficiente</t>
  </si>
  <si>
    <t>Muestra Mín</t>
  </si>
  <si>
    <t>Mínimo con Concepto Vig Anterior</t>
  </si>
  <si>
    <t>Mínimo SIN Concepto Vig Anterior</t>
  </si>
  <si>
    <t>Riesgo de Control</t>
  </si>
  <si>
    <t>MATERIALIDAD</t>
  </si>
  <si>
    <t>Materialidad Relativa a la Muestra</t>
  </si>
  <si>
    <t>Parametro Minimo Concepto</t>
  </si>
  <si>
    <t>BAJO</t>
  </si>
  <si>
    <t>MEDIO</t>
  </si>
  <si>
    <t>ALTO</t>
  </si>
  <si>
    <t>ENTIDAD</t>
  </si>
  <si>
    <t xml:space="preserve">CONTRATO O GASTO </t>
  </si>
  <si>
    <t xml:space="preserve">NUMERO DE CONTRATO O GASTO </t>
  </si>
  <si>
    <t>PARAMETRO MÍNIMO PARA CONCEPTO FAVORABLE</t>
  </si>
  <si>
    <t>FECHA DE SUSCRIPCIÓN</t>
  </si>
  <si>
    <t>TIPO DE MONEDA</t>
  </si>
  <si>
    <t>TASA REPRESENTATIVA DE MERCADO</t>
  </si>
  <si>
    <t>VALOR TOTAL CONTRATO O GASTO EN PESOS</t>
  </si>
  <si>
    <t xml:space="preserve">VALOR TOTAL AUDITADO DE LA VIGENCIA EN PESOS </t>
  </si>
  <si>
    <t>PRINCIPIO</t>
  </si>
  <si>
    <t>CALIFICACION</t>
  </si>
  <si>
    <t>RESULTADO</t>
  </si>
  <si>
    <t>PERIODO EVALUADO DEL CONTRATO O GASTO</t>
  </si>
  <si>
    <t>Del 01-12-2018 al 09-09-2020</t>
  </si>
  <si>
    <t>Del 06-12-2016 al 17-09-2019</t>
  </si>
  <si>
    <t>Del 21-07-2017 al 21-10-2020</t>
  </si>
  <si>
    <t>Del 26-06-2019 al 10-11-2020</t>
  </si>
  <si>
    <t>Del 18-12-2019 al 15-07-2020</t>
  </si>
  <si>
    <t>Del 26-06-2019 al 31-08-2020</t>
  </si>
  <si>
    <t>ECONOMÍA</t>
  </si>
  <si>
    <t>TIPO DE CONTRATO O GASTO</t>
  </si>
  <si>
    <t>Contrato de Interventoría</t>
  </si>
  <si>
    <t>Convenio de Asociación</t>
  </si>
  <si>
    <t>Convenio Interadministrativo</t>
  </si>
  <si>
    <t>Contrato Interadministrativo</t>
  </si>
  <si>
    <t>EFICACIA</t>
  </si>
  <si>
    <t>NOMBRE DEL AUDITOR RESPONSABLE DEL CONTRATO</t>
  </si>
  <si>
    <t>EFICIENCIA</t>
  </si>
  <si>
    <t>ETAPA (S) A EVALUAR, SI APLICA</t>
  </si>
  <si>
    <t>ETAPA 1 Y 2</t>
  </si>
  <si>
    <t>TODAS LAS ETAPAS</t>
  </si>
  <si>
    <t>PONDERACIÓN DEL CONTRATO O GASTO</t>
  </si>
  <si>
    <t>CONCEPTO</t>
  </si>
  <si>
    <t>HALLAZGOS EN EL CONTRATO O GASTO ASOCIADO</t>
  </si>
  <si>
    <t>CON PRES. INCID. PENAL</t>
  </si>
  <si>
    <t>SIN HALLAZGOS</t>
  </si>
  <si>
    <t>CON PRES. INC. DISCIPLINARIA</t>
  </si>
  <si>
    <t>SOLO ADMINISTRATIVOS</t>
  </si>
  <si>
    <t>NUMERALES ASOCIADOS AL HALLAZGO</t>
  </si>
  <si>
    <t>ETAPA</t>
  </si>
  <si>
    <t>CONSTANTE</t>
  </si>
  <si>
    <t>PRINCIPIO DE LA GESTIÓN FISCAL</t>
  </si>
  <si>
    <t xml:space="preserve">RESULTADO DE LA GESTION DEL GASTO PÚBLICO </t>
  </si>
  <si>
    <t>CALIFICACIÓN</t>
  </si>
  <si>
    <t>PRECONTRACTUAL</t>
  </si>
  <si>
    <t>La contratación guarda coherencia con el Plan de Desarrollo (Planes, programas y proyectos de inversión y/o funcionamiento) o Plan Estratégico Corporativo (Objetivos Empresariales) y Plan Anual de Adquisiciones y Compras.</t>
  </si>
  <si>
    <t>La necesidad se ajustó al Plan de Desarrollo, Plan Estratégico Corporativo, Plan Anual de Adquisiciones y Compras, sus líneas de inversión y/o de funcionamiento, y fue coherente con los proyectos/ metas y/o rubro fuente de financiación.</t>
  </si>
  <si>
    <t xml:space="preserve">Se cuenta con un documento o instrumento que hace las veces de estudios previos o elemento mínimo de planeación, que permite identificar y justificar con claridad la necesidad de la contratación fundamentada en razones técnicas, económicas y jurídicas. </t>
  </si>
  <si>
    <t xml:space="preserve">Se identificó el documento o instrumento que hace las veces de estudios previos, en donde se define y se justifica adecuadamente la necesidad real de los bienes y/o servicios a contratar. </t>
  </si>
  <si>
    <t xml:space="preserve">El estudio técnico y presupuestal estimado para el contrato está acorde con los precios del mercado. </t>
  </si>
  <si>
    <t xml:space="preserve">El estudio técnico, presupuestal y de mercado, es riguroso y responde a las necesidades de los bienes y servicios descritos en los Estudios Previos y/o documento o instrumento que hace las veces, de acuerdo con el Régimen de Contratación Aplicable. </t>
  </si>
  <si>
    <t>Se contó con la competencia e idoneidad para adelantar el proceso de selección del contratista.</t>
  </si>
  <si>
    <t>El proceso de selección del contratista fue adelantado por personal idóneo dentro de los lineamientos de su competencia.</t>
  </si>
  <si>
    <t>Se identificó correctamente la modalidad de selección del contratista, conservando las condiciones y términos del proceso de selección.</t>
  </si>
  <si>
    <t>Se seleccionó al contratista con la modalidad de contratación conforme a la ley vigente del Régimen de Contratación Estatal y/o Régimen Jurídico Privado o especial, Manuales y/o Estatutos de Contratación Internos, acorde con el objeto contractual propuesto.</t>
  </si>
  <si>
    <t xml:space="preserve">Se permitió el acceso a todos los oferentes al proceso de selección cumpliendo con los requisitos de publicidad, transparencia y pluralidad de oferentes. </t>
  </si>
  <si>
    <t>El proceso de selección se realizó con objetividad, neutralidad y claridad de las reglas impuestas para la presentación de ofertas, cumpliendo con los principios de selección objetiva.</t>
  </si>
  <si>
    <t xml:space="preserve">El oferente y/o proveedor cumplió con la idoneidad y capacidad exigida para el desarrollo del objeto contractual. </t>
  </si>
  <si>
    <t>En la oferta se identificó claramente el proveedor, el tamaño de su empresa y no se evidenció posible colusión y/o acuerdos entre oferentes que afectaran la Selección y la Transparencia.</t>
  </si>
  <si>
    <t xml:space="preserve">ECONOMÍA </t>
  </si>
  <si>
    <t xml:space="preserve">Se contó con capacidad jurídica, técnica y financiera por el contratista que aseguró el desarrollo normal del contrato. (Certificado de Existencia y Representación Legal, Formulario de Registro Único Tributario). </t>
  </si>
  <si>
    <t xml:space="preserve">La experiencia acreditada de la oferta que se escogió tiene relación directa con el objeto contractual en su actividad económica y comercial. En casos aplicables al Régimen de Contratación Estatal se acreditó conforme a la codificación establecida por Colombia Compra Eficiente. </t>
  </si>
  <si>
    <t>Se efectuó la estimación, calificación y asignación de riesgos y constitución de garantías en esta etapa.</t>
  </si>
  <si>
    <t xml:space="preserve">Antes de cerrar el proceso precontractual se surtió la instancia (Audiencia) para la estimación, calificación y asignación de riesgos y se consideraron las garantías de acuerdo con las exigencias del compromiso (Documento que hizo las veces de pliego de condiciones). </t>
  </si>
  <si>
    <t xml:space="preserve">Se identificó y calificó los riesgos acorde a la necesidad real del bien y/o servicio a adquirir (CONPES -Teoría del riesgo previsible, asignación de riesgos) </t>
  </si>
  <si>
    <t>Los riesgos fueron amparados con las garantías derivadas de la etapa precontractual de conformidad con la ley vigente.  (Compañías de Seguros u otras Entidades autorizadas por la Superintendencia Financiera).</t>
  </si>
  <si>
    <t>CONTRACTUAL</t>
  </si>
  <si>
    <t>Los otrosí y/o suspensiones del contrato no generaron impacto económico, están debidamente justificados y fundamentados conforme al objeto contractual y en el mismo sentido se amplió y aprobó la vigencia de las garantías.
*Otrosí: adiciones, prórrogas, modificaciones.</t>
  </si>
  <si>
    <t xml:space="preserve">Los otrosí del contrato, contienen las justificaciones del interventor y/o supervisor, fundamentadas en causas reales y soportadas, y la vigencia de las garantías debidamente aprobadas. </t>
  </si>
  <si>
    <t xml:space="preserve">Las modificaciones contractuales no generaron impacto económico negativo o injustificado para el Sujeto de Vigilancia y Control Fiscal. (Se tuvieron en cuenta los elementos necesarios de la etapa precontractual en las modificaciones). </t>
  </si>
  <si>
    <t>Las mayores cantidades o ítems no previstos de obra que incrementaron el presupuesto del contrato, cuentan con un estudio de mercado justificado.</t>
  </si>
  <si>
    <t xml:space="preserve">El pago efectuado estuvo de acuerdo con las condiciones pactadas y la debida ejecución del contrato. </t>
  </si>
  <si>
    <t xml:space="preserve">La capacidad técnica, económica e idoneidad ofertada se mantuvieron durante la ejecución del contrato, (No se presentaron cambios en el objeto contractual derivados de las modificaciones). </t>
  </si>
  <si>
    <t>La supervisión y/o interventoría cumple eficazmente con los propósitos normativos vigentes y su vez con los procesos y procedimientos establecidos por el sujeto de vigilancia y control fiscal en sus instrumentos internos.</t>
  </si>
  <si>
    <t>Los informes de interventoría y/o supervisión dieron cuenta del cumplimiento de la totalidad de las obligaciones pactadas en el contrato, en forma clara, amplia y precisa.</t>
  </si>
  <si>
    <t xml:space="preserve">El supervisor efectuó revisiones y visitas periódicas a las obras ejecutadas, servicios prestados o bienes suministrados, verificando que ellos cumplieran con las condiciones ofrecidas por el contratista. </t>
  </si>
  <si>
    <t>El interventor y/o supervisor ejecutó sus funciones de acuerdo con las obligaciones y/o manual de interventoría y contratación interno y Estatal, reflejándose en los informes presentados, las condiciones técnicas, administrativas, económicas, financieras y legales verificadas.</t>
  </si>
  <si>
    <t>Las medidas de apremio fueron tramitadas oportunamente. (Sanciones por incumplimientos).</t>
  </si>
  <si>
    <t xml:space="preserve">La supervisión y/o interventoría adelantó oportunamente las gestiones necesarias para el reconocimiento y cobro de las sanciones pecuniarias, multas y garantías a que hubiere lugar. </t>
  </si>
  <si>
    <t xml:space="preserve">Los riesgos previsibles asegurados o asignados a cualquiera de las partes, se mitigaron adecuadamente. </t>
  </si>
  <si>
    <t xml:space="preserve">Se suscribieron las pólizas en los tiempos, amparos y condiciones pactadas y fueron debidamente aprobadas por el interventor y/o supervisor del contrato. </t>
  </si>
  <si>
    <t>Se mitigó adecuadamente un riesgo que no había sido asignado o previsto.</t>
  </si>
  <si>
    <t>Se adelantaron actuaciones administrativas en el cumplimiento de las obligaciones contractuales para hacer efectivas las garantías oportunamente y los montos recuperados cubrieron la totalidad del siniestro.</t>
  </si>
  <si>
    <t xml:space="preserve">Los bienes y servicios recibidos y pagados por el Sujeto de Vigilancia y Control Fiscal, fueron los efectivamente contratados. </t>
  </si>
  <si>
    <t>Los bienes y servicios contratados cumplieron con las condiciones pactadas en costo, cantidad, tiempo, calidad, especificaciones técnicas  y estaban funcionando adecuadamente al momento de la verificación. (Incluye recepción del producto - Actas de recibido a satisfacción).</t>
  </si>
  <si>
    <t>POSTCONTRACTUAL O LIQUIDACIÓN</t>
  </si>
  <si>
    <t>Se verificó el cumplimiento de las obligaciones contractuales y el pago de la totalidad del contrato declarándolo a paz y salvo. Así mismo, las obligaciones por cumplir o posteriores, fueron redactadas de forma clara, expresa y exigible para evitar reclamaciones futuras con sus respectivas pólizas y/o garantías.</t>
  </si>
  <si>
    <t xml:space="preserve">En el acta de liquidación, se evidenció el cumplimiento de las obligaciones contractuales, paz y salvos de lo cancelado al contratista y claramente detalladas en tiempo, costo y oportunidad las obligaciones reciprocas pendientes, así como, sus correspondientes pólizas y/o garantías. </t>
  </si>
  <si>
    <t xml:space="preserve">En la liquidación del contrato, se generó un instrumento de cruce de cuentas entre las partes.  </t>
  </si>
  <si>
    <t>En el instrumento y sus anexos se identificó claramente: el contrato, las partes, objeto y alcance, plazo, precio, pagos y facturaciones, amortizaciones, modificaciones, la forma de cómo se utilizó el anticipo (cuando aplique), prórrogas, adiciones, suspensiones,  balance financiero y cruce de cuentas conforme a la Ley vigente y Estatutos Internos del Sujeto de Vigilancia y Control Fiscal.</t>
  </si>
  <si>
    <t>Se evidenció el pagó conforme a los requisitos establecidos en las obligaciones pactadas en el contrato, sus manuales internos, la ley vigente comercial, contable y tributaria.</t>
  </si>
  <si>
    <t xml:space="preserve">El reintegro de los rendimientos, excedentes y la administración del anticipo, se realizó conforme a lo pactado en el contrato, lo que ordena la Ley vigente como garantía y lo dispuesto en los Estatutos Internos y Procedimientos impartidos por cada Sujeto de Vigilancia y Control Fiscal. </t>
  </si>
  <si>
    <t xml:space="preserve">Los costos de la comisión, gastos y gravámenes por movimiento financiero, fueron cubiertos por el contratista, sin afectar el valor del anticipo. </t>
  </si>
  <si>
    <t>Se determinó si existen o no prestaciones por ejecutar con su correlativa valoración económica. (Acta de liquidación u otro documento)</t>
  </si>
  <si>
    <t xml:space="preserve">En la liquidación del contrato, los bienes y servicios recibidos y pagados por el Sujeto de Vigilancia y Control Fiscal, fueron los efectivamente contratados. </t>
  </si>
  <si>
    <t>En la liquidación del contrato se verificó, que los bienes y servicios recibidos cumplieron con las condiciones pactadas en cantidad, calidad, especificaciones técnicas, oportunidad y estaban funcionando adecuadamente. (Incluye recepción del producto - Actas de recibido a satisfacción).</t>
  </si>
  <si>
    <t xml:space="preserve">Por incumplimiento de las obligaciones contractuales, el Sujeto de Vigilancia y Control Fiscal, ejecutó acciones orientadas a resarcir el daño ocasionado. </t>
  </si>
  <si>
    <t xml:space="preserve">Se determinó que los productos o servicios contratados contribuyeron al cumplimiento de los objetivos del Plan de Desarrollo (Planes, programas y proyectos de inversión y/o funcionamiento) o Plan Estratégico Corporativo (Objetivos Empresariales) y Plan Anual de Adquisiciones y Compras. </t>
  </si>
  <si>
    <t>Los bienes y servicios recibidos suplieron efectivamente la necesidad que origino el contrato y apuntaron al cumplimiento de las metas del plan.</t>
  </si>
  <si>
    <t xml:space="preserve">El beneficio obtenido con la ejecución del contrato es verificable; además contribuyó con los objetivos y las metas del proyecto de inversión y/o funcionamiento. </t>
  </si>
  <si>
    <t>OTROS</t>
  </si>
  <si>
    <t>Otros Resultados no definidos en las variables que le anteceden y son producto de la evaluación del proceso auditor.</t>
  </si>
  <si>
    <t>CALIFICACION  CONTRATO</t>
  </si>
  <si>
    <t>EFICACIA DEL CONTRATO</t>
  </si>
  <si>
    <t>ECONOMÍA DEL CONTRATO</t>
  </si>
  <si>
    <t>EFICIENCIA DEL CONTRATO</t>
  </si>
  <si>
    <t>CALIFICACION PONDERADA POR PRINCIPIO</t>
  </si>
  <si>
    <t>EFICACIA PONDERADA POR CONTRATO</t>
  </si>
  <si>
    <t>ECONOMÍA PONDERADA POR CONTRATO</t>
  </si>
  <si>
    <t>EFICIENCIA PONDERADA POR CONTRATO</t>
  </si>
  <si>
    <t>TOTAL CONTRATO</t>
  </si>
  <si>
    <t>RANGOS DE CALIFICACIÓN DE LA GESTIÓN DEL PROCESO DE GASTO PÚBLICO</t>
  </si>
  <si>
    <t>COP</t>
  </si>
  <si>
    <t>NIVEL DE RIESGO</t>
  </si>
  <si>
    <t>USD</t>
  </si>
  <si>
    <t>Concepto</t>
  </si>
  <si>
    <t>MÁXIMO</t>
  </si>
  <si>
    <t>MÍNIMO</t>
  </si>
  <si>
    <t>DESFAVORABLE</t>
  </si>
  <si>
    <t>INEFECTIVO</t>
  </si>
  <si>
    <t>EFECTIVO</t>
  </si>
  <si>
    <t>CON OBSERVACIONES</t>
  </si>
  <si>
    <t>MODERADAMENTE EFECTIVO</t>
  </si>
  <si>
    <t>FAVORABLE</t>
  </si>
  <si>
    <t>RESULTADO DEL EJERCICIO AUDITOR</t>
  </si>
  <si>
    <t>cuantitativa</t>
  </si>
  <si>
    <t>CON INCIDENCIA FISCAL</t>
  </si>
  <si>
    <t>CON INCID. FISCAL Y PRES. DISCIPLINARIA</t>
  </si>
  <si>
    <t>CON INCID. FISCAL Y PRES. PENAL</t>
  </si>
  <si>
    <t>cualitativa</t>
  </si>
  <si>
    <t>CON INCID. FISCAL, PRES. DISCPL Y PENAL</t>
  </si>
  <si>
    <t>CON PRES. INC. PENAL Y DISCIPLINARIA</t>
  </si>
  <si>
    <t>Sujetos de Control Fiscal</t>
  </si>
  <si>
    <t xml:space="preserve">1 - Fondo de Desarrollo Local de Usaquén. </t>
  </si>
  <si>
    <t>CÓDIGO</t>
  </si>
  <si>
    <t>DEPENDENCIA</t>
  </si>
  <si>
    <t>CONCATENADO</t>
  </si>
  <si>
    <t xml:space="preserve">10 - Fondo de Desarrollo Local de Engativá. </t>
  </si>
  <si>
    <t xml:space="preserve">DIRECCIÓN SECTOR SALUD </t>
  </si>
  <si>
    <t xml:space="preserve">100 - Concejo de Bogotá, D.C. </t>
  </si>
  <si>
    <t xml:space="preserve">DIRECCIÓN SECTOR GOBIERNO </t>
  </si>
  <si>
    <t xml:space="preserve">102 - Personería de Bogotá. </t>
  </si>
  <si>
    <t xml:space="preserve">DIRECCIÓN DE PARTICIPACIÓN CIUDADANA Y DESARROLLO LOCAL </t>
  </si>
  <si>
    <t xml:space="preserve">104 - Secretaría General de la Alcaldía Mayor de Bogotá, D.C. – SGAMB. </t>
  </si>
  <si>
    <t xml:space="preserve">DIRECCIÓN SECTOR EQUIDAD Y GÉNERO </t>
  </si>
  <si>
    <t xml:space="preserve">105 - Veeduría Distrital. </t>
  </si>
  <si>
    <t>GERENCIA LOCAL USAQUÉN</t>
  </si>
  <si>
    <t xml:space="preserve">11 - Fondo de Desarrollo Local de Suba. </t>
  </si>
  <si>
    <t xml:space="preserve">GERENCIA LOCAL CHAPINERO </t>
  </si>
  <si>
    <t xml:space="preserve">110 - Secretaría Distrital de Gobierno – SDG. </t>
  </si>
  <si>
    <t>GERENCIA LOCAL SANTAFÉ</t>
  </si>
  <si>
    <t xml:space="preserve">111 - Secretaría Distrital de Hacienda – SDH. </t>
  </si>
  <si>
    <t xml:space="preserve">GERENCIA LOCAL SAN CRISTÓBAL </t>
  </si>
  <si>
    <t xml:space="preserve">112 - Secretaría de Educación del Distrito – SED - Fondos de Servicios Educativos de los Colegios e Instituciones adscritas a la Secretaría de Educación del Distrito. </t>
  </si>
  <si>
    <t xml:space="preserve">GERENCIA LOCAL USME </t>
  </si>
  <si>
    <t xml:space="preserve">113 - Secretaría Distrital de Movilidad – SDM. </t>
  </si>
  <si>
    <t xml:space="preserve">GERENCIA LOCAL TUNJUELLTO </t>
  </si>
  <si>
    <t xml:space="preserve">114 - Secretaría Distrital de Salud – SDS. </t>
  </si>
  <si>
    <t xml:space="preserve">GERENCIA LOCAL BOSA </t>
  </si>
  <si>
    <t xml:space="preserve">117 - Secretaría Distrital de Desarrollo Económico – SDDE. </t>
  </si>
  <si>
    <t xml:space="preserve">GERENCIA LOCAL KENNEDY </t>
  </si>
  <si>
    <t xml:space="preserve">118 - Secretaría Distrital del Hábitat - SDHT. </t>
  </si>
  <si>
    <t xml:space="preserve">GERENCIA LOCAL FONTIBÓN </t>
  </si>
  <si>
    <t xml:space="preserve">119 - Secretaría Distrital de Cultura, Recreación y Deporte – SDCRD. </t>
  </si>
  <si>
    <t xml:space="preserve">GERENCIA LOCAL ENGATIVÁ </t>
  </si>
  <si>
    <t xml:space="preserve">12 - Fondo de Desarrollo Local de Barrios Unidos. </t>
  </si>
  <si>
    <t xml:space="preserve">GERENCIA LOCAL SUBA </t>
  </si>
  <si>
    <t xml:space="preserve">120 - Secretaría Distrital de Planeación – SDP. </t>
  </si>
  <si>
    <t xml:space="preserve">GERENCIA LOCAL BARRIOS UNIDOS </t>
  </si>
  <si>
    <t xml:space="preserve">121 - Secretaría Distrital de la Mujer – SDM. </t>
  </si>
  <si>
    <t xml:space="preserve">GERENCIA LOCAL TEUSAQUILLO </t>
  </si>
  <si>
    <t xml:space="preserve">122 - Secretaría Distrital de Integración Social – SDIS. </t>
  </si>
  <si>
    <t xml:space="preserve">GERENCIA LOCAL MÁRTIRES </t>
  </si>
  <si>
    <t xml:space="preserve">125 - Departamento Administrativo del Servicio Civil Distrital – DASCD. </t>
  </si>
  <si>
    <t>GERENCIA LOCAL ANTONIO NARIÑO</t>
  </si>
  <si>
    <t xml:space="preserve">126 - Secretaría Distrital de Ambiente – SDA. </t>
  </si>
  <si>
    <t xml:space="preserve">GERENCIA LOCAL PUENTE ARANDA </t>
  </si>
  <si>
    <t xml:space="preserve">127 - Departamento Administrativo de la Defensoría del Espacio Público – DADEP. </t>
  </si>
  <si>
    <t xml:space="preserve">GERENCIA LOCAL LA CANDELARIA </t>
  </si>
  <si>
    <t xml:space="preserve">13 - Fondo de Desarrollo Local de Teusaquillo. </t>
  </si>
  <si>
    <t>GERENCIA LOCAL RAFAEL URIBE URIBE</t>
  </si>
  <si>
    <t xml:space="preserve">131 - Unidad Administrativa Especial del Cuerpo Oficial de Bomberos de Bogotá – UAECOB. </t>
  </si>
  <si>
    <t xml:space="preserve">GERENCIA LOCAL CIUDAD BOLIVAR </t>
  </si>
  <si>
    <t xml:space="preserve">136 - Secretaría Jurídica Distrital – SJD. </t>
  </si>
  <si>
    <t xml:space="preserve">GERENCIA LOCAL SUMAPAZ </t>
  </si>
  <si>
    <t xml:space="preserve">137 - Secretaría Distrital de Seguridad, Convivencia y Justicia – SDSCJ. </t>
  </si>
  <si>
    <t xml:space="preserve">DIRECCIÓN SECTOR HÁBITAT Y AMBIENTE </t>
  </si>
  <si>
    <t xml:space="preserve">14 - Fondo de Desarrollo Local de Los Mártires. </t>
  </si>
  <si>
    <t xml:space="preserve">DIRECCIÓN SECTOR EDUCACIÓN </t>
  </si>
  <si>
    <t xml:space="preserve">15 - Fondo de Desarrollo Local de Antonio Nariño. </t>
  </si>
  <si>
    <t xml:space="preserve">DIRECCIÓN SECTOR HACIENDA </t>
  </si>
  <si>
    <t xml:space="preserve">16 - Fondo de Desarrollo Local de Puente Aranda. </t>
  </si>
  <si>
    <t xml:space="preserve">DIRECCIÓN SECTOR DESARROLLO ECONÓMICO, INDUSTRIA Y TURISMO </t>
  </si>
  <si>
    <t xml:space="preserve">17 - Fondo de Desarrollo Local de La Candelaria. </t>
  </si>
  <si>
    <t xml:space="preserve">DIRECCIÓN SECTOR INTEGRACIÓN SOCIAL </t>
  </si>
  <si>
    <t xml:space="preserve">18 - Fondo de Desarrollo Local de Rafael Uribe Uribe. </t>
  </si>
  <si>
    <t xml:space="preserve">DIRECCIÓN SECTOR SERVICIOS PÚBLICOS </t>
  </si>
  <si>
    <t xml:space="preserve">19 - Fondo de Desarrollo Local de Ciudad Bolívar. </t>
  </si>
  <si>
    <t xml:space="preserve">DIRECCIÓN SECTOR CULTURA, RECREACIÓN Y DEPORTE </t>
  </si>
  <si>
    <t xml:space="preserve">2 - Fondo de Desarrollo Local de Chapinero. </t>
  </si>
  <si>
    <t>DIRECCIÓN SECTOR SEGURIDAD, CONVIVENCIA Y JUSTICIA</t>
  </si>
  <si>
    <t xml:space="preserve">20 - Fondo de Desarrollo Local de Sumapaz. </t>
  </si>
  <si>
    <t xml:space="preserve">DIRECCIÓN SECTOR MOVILIDAD </t>
  </si>
  <si>
    <t xml:space="preserve">200 - Instituto para la Economía Social – IPES. </t>
  </si>
  <si>
    <t xml:space="preserve">DIRECCIÓN SECTOR GESTIÓN JURIDICA </t>
  </si>
  <si>
    <t xml:space="preserve">201 - Fondo Financiero Distrital de Salud – FFDS. </t>
  </si>
  <si>
    <t xml:space="preserve">202 - Curaduría Urbana N° 1 de Bogotá. </t>
  </si>
  <si>
    <t xml:space="preserve">203 - Instituto Distrital de Gestión de Riesgos y Cambio Climático – IDIGER. </t>
  </si>
  <si>
    <t xml:space="preserve">204 - Instituto de Desarrollo Urbano – IDU. </t>
  </si>
  <si>
    <t xml:space="preserve">205 - Curaduría Urbana N° 2 de Bogotá. </t>
  </si>
  <si>
    <t xml:space="preserve">206 - Fondo de Prestaciones Económicas, Cesantías y Pensiones – FONCEP. </t>
  </si>
  <si>
    <t xml:space="preserve">207 - Curaduría Urbana N° 4 de Bogotá. </t>
  </si>
  <si>
    <t xml:space="preserve">208 - Caja de Vivienda Popular – CVP. </t>
  </si>
  <si>
    <t xml:space="preserve">209 - Curaduría Urbana N° 3 de Bogotá. </t>
  </si>
  <si>
    <t xml:space="preserve">210 - Curaduría Urbana N° 5 de Bogotá. </t>
  </si>
  <si>
    <t xml:space="preserve">211 - Instituto Distrital de Recreación y Deporte – IDRD. </t>
  </si>
  <si>
    <t xml:space="preserve">213 - Instituto Distrital de Patrimonio Cultural – IDPC. </t>
  </si>
  <si>
    <t>214 - Instituto Distrital para la Protección de la Niñez y la Juventud – IDIPRON.</t>
  </si>
  <si>
    <t xml:space="preserve">215 - Fundación Gilberto Álzate Avendaño – FUGA. </t>
  </si>
  <si>
    <t xml:space="preserve">216 - Orquesta Filarmónica de Bogotá – OFB. </t>
  </si>
  <si>
    <t xml:space="preserve">218 - Jardín Botánico José Celestino Mutis – JBJCM. </t>
  </si>
  <si>
    <t xml:space="preserve">219 - Instituto para la Investigación Educativa y el Desarrollo Pedagógico – IDEP. </t>
  </si>
  <si>
    <t xml:space="preserve">220 - Instituto Distrital de la Participación y Acción Comunal – IDPAC. </t>
  </si>
  <si>
    <t xml:space="preserve">221 - Instituto Distrital de Turismo – IDT. </t>
  </si>
  <si>
    <t xml:space="preserve">222 - Instituto Distrital de las Artes – IDARTES. </t>
  </si>
  <si>
    <t xml:space="preserve">226 - Unidad Administrativa Especial de Catastro Distrital - UAECD  </t>
  </si>
  <si>
    <t xml:space="preserve">227 - Unidad Administrativa Especial de Rehabilitación y Mantenimiento Vial – UAERMV. </t>
  </si>
  <si>
    <t xml:space="preserve">228 - Unidad Administrativa Especial de Servicios Públicos - UAESP </t>
  </si>
  <si>
    <t xml:space="preserve">229 - Instituto Distrital de Protección y Bienestar Animal – IDPYBA. </t>
  </si>
  <si>
    <t xml:space="preserve">230 - Universidad Distrital Francisco José de Caldas. </t>
  </si>
  <si>
    <t xml:space="preserve">240 - Lotería de Bogotá. </t>
  </si>
  <si>
    <t xml:space="preserve">260 - Canal Capital. </t>
  </si>
  <si>
    <t xml:space="preserve">262 - Empresa de Transporte del Tercer Milenio - Transmilenio S.A. </t>
  </si>
  <si>
    <t xml:space="preserve">263 - Empresa de Renovación y Desarrollo Urbano de Bogotá D.C. – ERU. </t>
  </si>
  <si>
    <t xml:space="preserve">264 - Aguas de Bogotá S.A. E.S.P. </t>
  </si>
  <si>
    <t xml:space="preserve">265 - Empresa de Acueducto y Alcantarillado de Bogotá, EAAB -E.S.P.  </t>
  </si>
  <si>
    <t xml:space="preserve">266 - Metro de Bogotá S.A. </t>
  </si>
  <si>
    <t xml:space="preserve">3 - Fondo de Desarrollo Local de Santa Fe. </t>
  </si>
  <si>
    <t xml:space="preserve">311 - Terminal de Transporte S.A.  </t>
  </si>
  <si>
    <t xml:space="preserve">317 - Corporación para el Desarrollo y la Productividad Bogotá Región - INVEST IN BOGOTÁ. </t>
  </si>
  <si>
    <t xml:space="preserve">4 - Fondo de Desarrollo Local de San Cristóbal. </t>
  </si>
  <si>
    <t xml:space="preserve">423 - Subred Integrada de Servicios de Salud Centro Oriente E.S.E.   </t>
  </si>
  <si>
    <t xml:space="preserve">424 - Subred Integrada de Servicios de Salud Sur Occidente E.S.E. </t>
  </si>
  <si>
    <t xml:space="preserve">425 - Subred Integrada de Servicios de Salud Sur E.S.E. </t>
  </si>
  <si>
    <t xml:space="preserve">426 - Subred Integrada de Servicios de Salud Norte E.S.E.  </t>
  </si>
  <si>
    <t xml:space="preserve">428 - Capital Salud. Entidad promotora de salud del régimen subsidiado S.A.S. - CAPITAL SALUD EPS-S S.A.S. </t>
  </si>
  <si>
    <t xml:space="preserve">429 - Instituto Distrital de Ciencia, Biotecnología e Innovación en Salud – IDCBIS. </t>
  </si>
  <si>
    <t xml:space="preserve">430 - Entidad de Gestión Administrativa y Técnica – EGAT. </t>
  </si>
  <si>
    <t>431 - ENEL Colombia S.A. E.S.P.</t>
  </si>
  <si>
    <t xml:space="preserve">5 - Fondo de Desarrollo Local de Usme. </t>
  </si>
  <si>
    <t xml:space="preserve">500 - Fondo Distrital para la Gestión de Riesgos y Cambio Climático de Bogotá D.C. –FONDIGER. </t>
  </si>
  <si>
    <t>501 -Agencia Distrital para la Educación Superior, la Ciencia y la Tecnología - ATENEA</t>
  </si>
  <si>
    <t xml:space="preserve">515 - Corporación Maloka de Ciencia, Tecnología e Innovación – MALOKA. </t>
  </si>
  <si>
    <t xml:space="preserve">6 - Fondo de Desarrollo Local de Tunjuelito. </t>
  </si>
  <si>
    <t xml:space="preserve">7 - Fondo de Desarrollo Local de Bosa. </t>
  </si>
  <si>
    <t xml:space="preserve">702 - Compañía de Distribución y Comercialización de Energía S.A. E.S.P. CODENSA S.A. E.S.P. </t>
  </si>
  <si>
    <t xml:space="preserve">704 - Compañía Colombiana de Servicios de Valor Agregado y Telemático S.A. ESP - COLVATEL S.A E.S.P. </t>
  </si>
  <si>
    <t xml:space="preserve">705 - Empresa Generadora de Energía S.A. E.S.P. - EMGESA S.A. E.S.P. </t>
  </si>
  <si>
    <t xml:space="preserve">708 - Empresa de Telecomunicaciones de Bogotá S.A. E.S.P. </t>
  </si>
  <si>
    <t xml:space="preserve">709 - Américas Business Process Services S.A. </t>
  </si>
  <si>
    <t xml:space="preserve">710 - Grupo Energía Bogotá S.A. E.S.P. – GEB S.A. E.S.P. </t>
  </si>
  <si>
    <t xml:space="preserve">712 - VANTI S.A. ESP </t>
  </si>
  <si>
    <t xml:space="preserve">718 - Transportadora de Gas Internacional S.A. E.S.P.– TGI S.A. E.S.P. </t>
  </si>
  <si>
    <t xml:space="preserve">721 - Caudales de Colombia S.A. E.S.P. </t>
  </si>
  <si>
    <t xml:space="preserve">729 - SKYNET de Colombia S.A. E.S.P. </t>
  </si>
  <si>
    <t xml:space="preserve">8 - Fondo de Desarrollo Local de Kennedy. </t>
  </si>
  <si>
    <t xml:space="preserve">9 - Fondo de Desarrollo Local de Fontibón. </t>
  </si>
  <si>
    <t>ETAPA 1</t>
  </si>
  <si>
    <t>ETAPA 2</t>
  </si>
  <si>
    <t>ETAPA 3</t>
  </si>
  <si>
    <t>ETAPAS 2 Y 3</t>
  </si>
  <si>
    <t>% DE PAGOS
(Total Pagado /  Valor Contratos)</t>
  </si>
  <si>
    <t>Nivel de Riesgo de control fiscal en el Proceso de Gasto Público</t>
  </si>
  <si>
    <t>Adquisición de activos financieros</t>
  </si>
  <si>
    <t>Disminución de pasivos</t>
  </si>
  <si>
    <t>Gastos por tributos, tasas, contribuciones, multas, sanciones e intereses de mora</t>
  </si>
  <si>
    <t>Servicio de la deuda pública</t>
  </si>
  <si>
    <t xml:space="preserve">TOTAL </t>
  </si>
  <si>
    <t>Gastos de comercialización y producción</t>
  </si>
  <si>
    <t>CONTRATOS SUSCRITOS EN VIGENCIAS ANTERIORES CON GESTIÓN FISCAL EN LA VIGENCIA A AUDITAR  (AÑO n)</t>
  </si>
  <si>
    <t>ADICIONES A CONTRATOS SUSCRITOS EN VIGENCIAS ANTERIORES EFECTUADAS DENTRO DE LA VIGENCIA AUDITAR (AÑO n)</t>
  </si>
  <si>
    <t>ADICIONES A CONTRATOS SUSCRITOS EN VIGENCIAS ANTERIORES EFECTUADAS DENTRO DE LA VIGENCIA AUDITAR</t>
  </si>
  <si>
    <t>I. Seleccione la(s) unidad(es) de análisis de acuerdo al entendimiento del sujeto de control y el juicio profesional :</t>
  </si>
  <si>
    <t xml:space="preserve">UNIDAD DE ANÁLISIS </t>
  </si>
  <si>
    <t>ELEMENTOS DEL UNIVERSO</t>
  </si>
  <si>
    <t>VALOR TOTAL</t>
  </si>
  <si>
    <t>CONTRATOS SUSCRITOS EN LA VIGENCIA A AUDITAR</t>
  </si>
  <si>
    <t xml:space="preserve">OTRAS FORMAS DE EJECUCIÓN DEL GASTO DE LA VIGENCIA AUDITAR DIFERENTES A CONTRATACIÓN </t>
  </si>
  <si>
    <t xml:space="preserve">CONTRATOS SUSCRITOS EN VIGENCIAS ANTERIORES CON GESTIÓN FISCAL EN LA VIGENCIA A AUDITAR </t>
  </si>
  <si>
    <r>
      <t>MAXIMA CALIFICACION POSIBLE</t>
    </r>
    <r>
      <rPr>
        <sz val="10"/>
        <color indexed="8"/>
        <rFont val="Arial"/>
        <family val="2"/>
      </rPr>
      <t> </t>
    </r>
  </si>
  <si>
    <t>EEAAB234453</t>
  </si>
  <si>
    <t>Factura Acueducto</t>
  </si>
  <si>
    <t>NO APLICA</t>
  </si>
  <si>
    <r>
      <rPr>
        <b/>
        <sz val="11"/>
        <color theme="1" tint="0.249977111117893"/>
        <rFont val="Arial"/>
        <family val="2"/>
      </rPr>
      <t>OTRAS FORMAS DE EJECUCIÓN DEL GASTO</t>
    </r>
    <r>
      <rPr>
        <b/>
        <sz val="11"/>
        <color theme="1"/>
        <rFont val="Arial"/>
        <family val="2"/>
      </rPr>
      <t xml:space="preserve"> </t>
    </r>
    <r>
      <rPr>
        <b/>
        <u/>
        <sz val="11"/>
        <color theme="1"/>
        <rFont val="Arial"/>
        <family val="2"/>
      </rPr>
      <t xml:space="preserve">DIFERENTES A CONTRATACIÓN
</t>
    </r>
    <r>
      <rPr>
        <b/>
        <sz val="11"/>
        <color theme="0" tint="-4.9989318521683403E-2"/>
        <rFont val="Arial"/>
        <family val="2"/>
      </rPr>
      <t>(INCLUIR LOS ÍTEMS PERTINENTES AL SUJETO DE CONTROL)</t>
    </r>
  </si>
  <si>
    <t>VIGENCIA AUDITADA</t>
  </si>
  <si>
    <t>CODIGO AUDITORÍA</t>
  </si>
  <si>
    <t>Equipo Auditor:</t>
  </si>
  <si>
    <t>NOMBRE</t>
  </si>
  <si>
    <t>FIRMA</t>
  </si>
  <si>
    <t>CARGO</t>
  </si>
  <si>
    <t>SUJETOS DE CONTROL FISCAL</t>
  </si>
  <si>
    <t>REGIMEN</t>
  </si>
  <si>
    <t>INGRESOS</t>
  </si>
  <si>
    <t>Rango de Calificación</t>
  </si>
  <si>
    <t>CLASIFICACION PRESUPUESTAL</t>
  </si>
  <si>
    <t>Sujeto de Control</t>
  </si>
  <si>
    <t>TIPO DE MATRIZ
(Identificación de la matriz a aplicar)</t>
  </si>
  <si>
    <t>TIPO_ENTIDAD</t>
  </si>
  <si>
    <t>Columna1</t>
  </si>
  <si>
    <t>Columna2</t>
  </si>
  <si>
    <t>MACROPROCESO</t>
  </si>
  <si>
    <t>PUBLICA</t>
  </si>
  <si>
    <t>MIXTA&gt;50</t>
  </si>
  <si>
    <t>MIXTA&lt;50</t>
  </si>
  <si>
    <t>CORPORACION</t>
  </si>
  <si>
    <t xml:space="preserve">100000 - DIRECCIÓN SECTOR SALUD </t>
  </si>
  <si>
    <t>1 - Fondo de Desarrollo Local de Usaquén</t>
  </si>
  <si>
    <t>FDL</t>
  </si>
  <si>
    <t>12101 - GERENCIA LOCAL USAQUÉN</t>
  </si>
  <si>
    <t>SI</t>
  </si>
  <si>
    <t>&gt;=</t>
  </si>
  <si>
    <t>&lt;</t>
  </si>
  <si>
    <t>ya</t>
  </si>
  <si>
    <t>PUBLICA SIN GESTIÓN FINANCIERA</t>
  </si>
  <si>
    <t>PUBLICA con ing</t>
  </si>
  <si>
    <t>CON INGRESOS</t>
  </si>
  <si>
    <t>x</t>
  </si>
  <si>
    <t>GESTIÓN FINANCIERA</t>
  </si>
  <si>
    <t xml:space="preserve">110000 - DIRECCIÓN SECTOR GOBIERNO </t>
  </si>
  <si>
    <t>10 - Fondo de Desarrollo Local de Engativá</t>
  </si>
  <si>
    <t xml:space="preserve">12110 - GERENCIA LOCAL ENGATIVÁ </t>
  </si>
  <si>
    <t>EFICAZ</t>
  </si>
  <si>
    <t>GASTOS</t>
  </si>
  <si>
    <t>GESTIÓN PRESUPUESTAL</t>
  </si>
  <si>
    <t xml:space="preserve">12000 - DIRECCIÓN DE PARTICIPACIÓN CIUDADANA Y DESARROLLO LOCAL </t>
  </si>
  <si>
    <t>100 - Concejo de Bogotá D.C.</t>
  </si>
  <si>
    <t>No tiene</t>
  </si>
  <si>
    <t>NO</t>
  </si>
  <si>
    <t>GASTOS DE OPERACIÓN COMERCIAL</t>
  </si>
  <si>
    <t>PUBLICA SIN GESTIÓN FINANCIERA Y SIN CONTRATACION</t>
  </si>
  <si>
    <t>CONCEJO</t>
  </si>
  <si>
    <t>SIN INGRESOS</t>
  </si>
  <si>
    <t>Y RESULTADOS</t>
  </si>
  <si>
    <t xml:space="preserve">120000 - DIRECCIÓN SECTOR EQUIDAD Y GÉNERO </t>
  </si>
  <si>
    <t>102 - Personería de Bogotá</t>
  </si>
  <si>
    <t>100% publica</t>
  </si>
  <si>
    <t>INEFICAZ</t>
  </si>
  <si>
    <t>RESERVAS CONSTITUIDAS / OBLIGACIONES / CUENTAS POR PAGAR</t>
  </si>
  <si>
    <t>PUBLICA sin ing</t>
  </si>
  <si>
    <t>104 - Secretaría General de la Alcaldía Mayor de Bogotá, D.C. – SGAMB</t>
  </si>
  <si>
    <t>ABSTENCIÓN</t>
  </si>
  <si>
    <t>El Auditor no conto con información o tiene incertidumbre relevante de la información reflejada en los informes presupuestales</t>
  </si>
  <si>
    <t>PASIVOS EXIGIBLES</t>
  </si>
  <si>
    <t>PROCESO</t>
  </si>
  <si>
    <t>MIXTA&gt;50 sin Ing</t>
  </si>
  <si>
    <t>OPINIONES</t>
  </si>
  <si>
    <t>CONCEPTOS INVERSIÓN Y GASTO</t>
  </si>
  <si>
    <t xml:space="preserve">12102 - GERENCIA LOCAL CHAPINERO </t>
  </si>
  <si>
    <t>105 - Veeduría Distrital</t>
  </si>
  <si>
    <t>VIGENCIAS FUTURAS</t>
  </si>
  <si>
    <t>ESTADOS FINANCIEROS</t>
  </si>
  <si>
    <t>Limpia o Sin Salvedades</t>
  </si>
  <si>
    <t>12103 - GERENCIA LOCAL SANTAFÉ</t>
  </si>
  <si>
    <t>11 - Fondo de Desarrollo Local de Suba</t>
  </si>
  <si>
    <t xml:space="preserve">12111 - GERENCIA LOCAL SUBA </t>
  </si>
  <si>
    <t>DESEMPEÑO FINANCIERO</t>
  </si>
  <si>
    <t>Con Salvedades</t>
  </si>
  <si>
    <t xml:space="preserve">12104 - GERENCIA LOCAL SAN CRISTÓBAL </t>
  </si>
  <si>
    <t>110 - Secretaría Distrital de Gobierno – SDG</t>
  </si>
  <si>
    <t>EJECUCIÓN DE INGRESOS</t>
  </si>
  <si>
    <t>Negativa</t>
  </si>
  <si>
    <t xml:space="preserve">12105 - GERENCIA LOCAL USME </t>
  </si>
  <si>
    <t>111 - Secretaría Distrital de Hacienda – SDH</t>
  </si>
  <si>
    <t xml:space="preserve">150000 - DIRECCIÓN SECTOR HACIENDA </t>
  </si>
  <si>
    <t>PUBLICA CON GESTIÓN FINANCIERA</t>
  </si>
  <si>
    <t>EJECUCIÓN DE GASTOS o COSTOS Y GASTOS</t>
  </si>
  <si>
    <t>Abstención</t>
  </si>
  <si>
    <t xml:space="preserve">12106 - GERENCIA LOCAL TUNJUELLTO </t>
  </si>
  <si>
    <t>112 - Secretaría de Educación del Distrito – SED - Fondos de Servicios Educativos de los Colegios e Instituciones adscritas a la Secretaría de Educación del Distrito</t>
  </si>
  <si>
    <t xml:space="preserve">140000 - DIRECCIÓN SECTOR EDUCACIÓN </t>
  </si>
  <si>
    <t xml:space="preserve">12107 - GERENCIA LOCAL BOSA </t>
  </si>
  <si>
    <t>113 - Secretaría Distrital de Movilidad – SDM</t>
  </si>
  <si>
    <t xml:space="preserve">80000 - DIRECCIÓN SECTOR MOVILIDAD </t>
  </si>
  <si>
    <t xml:space="preserve">12108 - GERENCIA LOCAL KENNEDY </t>
  </si>
  <si>
    <t>114 - Secretaría Distrital de Salud – SDS</t>
  </si>
  <si>
    <t xml:space="preserve">12109 - GERENCIA LOCAL FONTIBÓN </t>
  </si>
  <si>
    <t>117 - Secretaría Distrital de Desarrollo Económico – SDDE</t>
  </si>
  <si>
    <t xml:space="preserve">190000 - DIRECCIÓN SECTOR DESARROLLO ECONÓMICO, INDUSTRIA Y TURISMO </t>
  </si>
  <si>
    <t>118 - Secretaría Distrital del Hábitat - SDHT</t>
  </si>
  <si>
    <t xml:space="preserve">130000 - DIRECCIÓN SECTOR HÁBITAT Y AMBIENTE </t>
  </si>
  <si>
    <t>119 - Secretaría Distrital de Cultura, Recreación y Deporte – SDCRD</t>
  </si>
  <si>
    <t xml:space="preserve">220000 - DIRECCIÓN SECTOR CULTURA, RECREACIÓN Y DEPORTE </t>
  </si>
  <si>
    <t xml:space="preserve">12112 - GERENCIA LOCAL BARRIOS UNIDOS </t>
  </si>
  <si>
    <t>12 - Fondo de Desarrollo Local de Barrios Unidos</t>
  </si>
  <si>
    <t xml:space="preserve">12113 - GERENCIA LOCAL TEUSAQUILLO </t>
  </si>
  <si>
    <t>120 - Secretaría Distrital de Planeación – SDP</t>
  </si>
  <si>
    <t xml:space="preserve">12114 - GERENCIA LOCAL MÁRTIRES </t>
  </si>
  <si>
    <t>121 - Secretaría Distrital de la Mujer – SDM</t>
  </si>
  <si>
    <t>12115 - GERENCIA LOCAL ANTONIO NARIÑO</t>
  </si>
  <si>
    <t>122 - Secretaría Distrital de Integración Social – SDIS</t>
  </si>
  <si>
    <t xml:space="preserve">200000 - DIRECCIÓN SECTOR INTEGRACIÓN SOCIAL </t>
  </si>
  <si>
    <t xml:space="preserve">12116 - GERENCIA LOCAL PUENTE ARANDA </t>
  </si>
  <si>
    <t>125 - Departamento Administrativo del Servicio Civil Distrital – DASCD</t>
  </si>
  <si>
    <t xml:space="preserve">12117 - GERENCIA LOCAL LA CANDELARIA </t>
  </si>
  <si>
    <t>126 - Secretaría Distrital de Ambiente – SDA</t>
  </si>
  <si>
    <t>12118 - GERENCIA LOCAL RAFAEL URIBE URIBE</t>
  </si>
  <si>
    <t>127 - Departamento Administrativo de la Defensoría del Espacio Público – DADEP</t>
  </si>
  <si>
    <t xml:space="preserve">12119 - GERENCIA LOCAL CIUDAD BOLIVAR </t>
  </si>
  <si>
    <t>13 - Fondo de Desarrollo Local de Teusaquillo</t>
  </si>
  <si>
    <t xml:space="preserve">12120 - GERENCIA LOCAL SUMAPAZ </t>
  </si>
  <si>
    <t>131 - Unidad Administrativa Especial del Cuerpo Oficial de Bomberos de Bogotá – UAECOB</t>
  </si>
  <si>
    <t>Unidad Administrativa Especial</t>
  </si>
  <si>
    <t>230000 - DIRECCIÓN SECTOR SEGURIDAD, CONVIVENCIA Y JUSTICIA</t>
  </si>
  <si>
    <t>136 - Secretaría Jurídica Distrital – SJD</t>
  </si>
  <si>
    <t xml:space="preserve">90000 - DIRECCIÓN SECTOR GESTIÓN JURIDICA </t>
  </si>
  <si>
    <t>137 - Secretaría Distrital de Seguridad, Convivencia y Justicia – SDSCJ</t>
  </si>
  <si>
    <t>14 - Fondo de Desarrollo Local de Los Mártires</t>
  </si>
  <si>
    <t>PLANES, PROGRAMAS Y PROYECTOS</t>
  </si>
  <si>
    <t>15 - Fondo de Desarrollo Local de Antonio Nariño</t>
  </si>
  <si>
    <t>PLAN ESTRATEGICO INSTITUCIONAL</t>
  </si>
  <si>
    <t>16 - Fondo de Desarrollo Local de Puente Aranda</t>
  </si>
  <si>
    <t>PLAN ESTRATEGICO CORPORATIVO o el que haga sus veces</t>
  </si>
  <si>
    <t>17 - Fondo de Desarrollo Local de La Candelaria</t>
  </si>
  <si>
    <t>18 - Fondo de Desarrollo Local de Rafael Uribe Uribe</t>
  </si>
  <si>
    <t>19 - Fondo de Desarrollo Local de Ciudad Bolívar</t>
  </si>
  <si>
    <t>2 - Fondo de Desarrollo Local de Chapinero</t>
  </si>
  <si>
    <t>20 - Fondo de Desarrollo Local de Sumapaz</t>
  </si>
  <si>
    <t>200 - Instituto para la Economía Social – IPES</t>
  </si>
  <si>
    <t>Establecimiento publico</t>
  </si>
  <si>
    <t>201 - Fondo Financiero Distrital de Salud – FFDS</t>
  </si>
  <si>
    <t>Fondo</t>
  </si>
  <si>
    <t>202 - Curaduría Urbana N° 1 de Bogotá</t>
  </si>
  <si>
    <t>Mixta</t>
  </si>
  <si>
    <t>203 - Instituto Distrital de Gestión de Riesgos y Cambio Climático – IDIGER</t>
  </si>
  <si>
    <t>204 - Instituto de Desarrollo Urbano – IDU</t>
  </si>
  <si>
    <t xml:space="preserve">206 - Fondo de Prestaciones Económicas, Cesantías y Pensiones – FONCEP </t>
  </si>
  <si>
    <t>205 - Curaduría Urbana N° 2 de Bogotá</t>
  </si>
  <si>
    <t>Menor 50%</t>
  </si>
  <si>
    <t>208 - Caja de Vivienda Popular – CVP</t>
  </si>
  <si>
    <t>211 - Instituto Distrital de Recreación y Deporte – IDRD</t>
  </si>
  <si>
    <t>207 - Curaduría Urbana N° 4 de Bogotá</t>
  </si>
  <si>
    <t>213 - Instituto Distrital de Patrimonio Cultural – IDPC</t>
  </si>
  <si>
    <t>214 - Instituto Distrital para la Protección de la Niñez y la Juventud – IDIPRON</t>
  </si>
  <si>
    <t>209 - Curaduría Urbana N° 3 de Bogotá</t>
  </si>
  <si>
    <t>215 - Fundación Gilberto Álzate Avendaño – FUGA</t>
  </si>
  <si>
    <t>210 - Curaduría Urbana N° 5 de Bogotá</t>
  </si>
  <si>
    <t>216 - Orquesta Filarmónica de Bogotá – OFB</t>
  </si>
  <si>
    <t>218 - Jardín Botánico José Celestino Mutis – JBJCM</t>
  </si>
  <si>
    <t xml:space="preserve">219 - Instituto para la Investigación Educativa y el Desarrollo Pedagógico – IDEP </t>
  </si>
  <si>
    <t>220 - Instituto Distrital de la Participación y Acción Comunal – IDPAC</t>
  </si>
  <si>
    <t>221 - Instituto Distrital de Turismo – IDT</t>
  </si>
  <si>
    <t>222 - Instituto Distrital de las Artes – IDARTES</t>
  </si>
  <si>
    <t xml:space="preserve">  </t>
  </si>
  <si>
    <t>229 - Instituto Distrital de Protección y Bienestar Animal – IDPYBA</t>
  </si>
  <si>
    <t>230 - Universidad Distrital Francisco José de Caldas</t>
  </si>
  <si>
    <t>240 - Lotería de Bogotá</t>
  </si>
  <si>
    <t>PUBLICA CON GESTIÓN FINANCIERA Y CONTRATACIÓN MIXTA</t>
  </si>
  <si>
    <t>260 - Canal Capital</t>
  </si>
  <si>
    <t>Ente Autonomo</t>
  </si>
  <si>
    <t>264 - Aguas de Bogotá S.A. E.S.P.</t>
  </si>
  <si>
    <t>Empresa Industrial y Comercial</t>
  </si>
  <si>
    <t>268 - Operadora Distrital de Transporte S.A.S.</t>
  </si>
  <si>
    <t>MIXTA</t>
  </si>
  <si>
    <t>MIXTA&gt;50 sin ing</t>
  </si>
  <si>
    <t>3 - Fondo de Desarrollo Local de Santa Fe</t>
  </si>
  <si>
    <t>Publica con contratacion mixta</t>
  </si>
  <si>
    <t>4 - Fondo de Desarrollo Local de San Cristóbal</t>
  </si>
  <si>
    <t>Entidad Descentralizada</t>
  </si>
  <si>
    <t>PUBLICA CON PLAN ESTRATEGICO Y CONTRATACIÓN MIXTA</t>
  </si>
  <si>
    <t>Subred</t>
  </si>
  <si>
    <t>429 - Instituto Distrital de Ciencia, Biotecnología e Innovación en Salud – IDCBIS</t>
  </si>
  <si>
    <t>PUBLICA CON GESTIÓN FINANCIERA CON PLAN ESTRATEGICO</t>
  </si>
  <si>
    <t>430 - Entidad de Gestión Administrativa y Técnica – EGAT</t>
  </si>
  <si>
    <t>PUBLICA SIN GESTIÓN FINANCIERA Y CONTRATACIÓN MIXTA</t>
  </si>
  <si>
    <t>5 - Fondo de Desarrollo Local de Usme</t>
  </si>
  <si>
    <t>500 - Fondo Distrital para la Gestión de Riesgos y Cambio Climático de Bogotá D.C. –FONDIGER</t>
  </si>
  <si>
    <t>515 - Corporación Maloka de Ciencia, Tecnología e Innovación – MALOKA</t>
  </si>
  <si>
    <t>6 - Fondo de Desarrollo Local de Tunjuelito</t>
  </si>
  <si>
    <t>7 - Fondo de Desarrollo Local de Bosa</t>
  </si>
  <si>
    <t>8 - Fondo de Desarrollo Local de Kennedy</t>
  </si>
  <si>
    <t>9 - Fondo de Desarrollo Local de Fontibón</t>
  </si>
  <si>
    <t>MUESTRA</t>
  </si>
  <si>
    <t>ESTADOS FINANCIEROS - ESTADO DE SITUACIÓN FINANCIERA</t>
  </si>
  <si>
    <t>En Pesos $</t>
  </si>
  <si>
    <t>CRITERIOS DE SELECCIÓN DE LA MUESTRA</t>
  </si>
  <si>
    <t>CODIGO</t>
  </si>
  <si>
    <t>DESCRIPCIÓN CUENTA:
Clase/ Grupo/ Cuenta/ Subcuenta</t>
  </si>
  <si>
    <t>Saldo a dic 31 del año actual</t>
  </si>
  <si>
    <t>Saldo a dic 31 del año anterior</t>
  </si>
  <si>
    <t>Variación absoluta</t>
  </si>
  <si>
    <t>Variación %</t>
  </si>
  <si>
    <t>Explicación de variaciones (Ver Notas a los Estados Financieros - Revelaciones)</t>
  </si>
  <si>
    <t>Participación % En función al activo</t>
  </si>
  <si>
    <t>Explicación de participaciones - Para las de Mayor %</t>
  </si>
  <si>
    <t>CUENTAS QUE PRESENTARON MAYOR VARIACIÓN (TRAER %)</t>
  </si>
  <si>
    <t>CUENTAS DE MAYOR PARTICIPACIÓN (TRAER %)</t>
  </si>
  <si>
    <t>CUENTAS QUE PRESENTARON HALLAZGOS POR INCORRECCIONES O IMPOSIBILIDADES EN EL INFORME ANTERIOR (MARCAR CON X)</t>
  </si>
  <si>
    <t>CUENTAS QUE POR PLAN DE MEJORAMIENTO SE DEBE EVALUAR EFECTIVIDAD</t>
  </si>
  <si>
    <t>CUENTAS SUCEPTIBLES DE SER INCLUIDAS EN LA MUESTRA (MARCAR CON X)</t>
  </si>
  <si>
    <t>CUENTAS QUE SEGÚN EL FORMATO: PVCGF-04-13 INSTRUMENTO DE RIESGOS Y CONTROLES PRESENTARON EL MAYOR RIESGO RESIDUAL (REGISTRAR: CRITICO, ALTO, MEDIO O BAJO)</t>
  </si>
  <si>
    <t>CUENTAS SOLICITADAS A AUDITAR POR ESTUDIOS DE ECONOMIA Y POLITICA PUBLICA</t>
  </si>
  <si>
    <t xml:space="preserve">MUESTRA DE AUDITORIA </t>
  </si>
  <si>
    <t>OBSERVACIONES DEL AUDITOR - JUSTIFICACIÓN DE LA SELECCIÓN</t>
  </si>
  <si>
    <t>ddd</t>
  </si>
  <si>
    <t>gf</t>
  </si>
  <si>
    <t>iii</t>
  </si>
  <si>
    <t>ggg</t>
  </si>
  <si>
    <t>hjjj</t>
  </si>
  <si>
    <t>ff</t>
  </si>
  <si>
    <t>eerr</t>
  </si>
  <si>
    <t>uiikk</t>
  </si>
  <si>
    <t xml:space="preserve">Conclusiones generales </t>
  </si>
  <si>
    <t>Auditores:</t>
  </si>
  <si>
    <t>Gerente - Líder:</t>
  </si>
  <si>
    <r>
      <rPr>
        <b/>
        <sz val="11"/>
        <color theme="1"/>
        <rFont val="Arial"/>
        <family val="2"/>
      </rPr>
      <t xml:space="preserve">Nota 1: </t>
    </r>
    <r>
      <rPr>
        <sz val="11"/>
        <color theme="1"/>
        <rFont val="Arial"/>
        <family val="2"/>
      </rPr>
      <t>Con el diligenciamiento de este papel de Trabajo se pretende establecer el universo de los saldos de las cuentas del Estado de Situación Financiera del Sujeto de Control con corte a diciembre 31 de la vigencia a auditar y de esta esta forma establecer su participación % y principales variaciones con respecto a diciembre 31 del año anterior.</t>
    </r>
  </si>
  <si>
    <r>
      <rPr>
        <b/>
        <sz val="11"/>
        <color theme="1"/>
        <rFont val="Arial"/>
        <family val="2"/>
      </rPr>
      <t>Nota 2:</t>
    </r>
    <r>
      <rPr>
        <sz val="11"/>
        <color theme="1"/>
        <rFont val="Arial"/>
        <family val="2"/>
      </rPr>
      <t xml:space="preserve"> A partir de lo anterior, con fines de direccionar la Muestra a Seleccionar, se dará aplicación a los criterios establecidos para seleccionar la muestra.</t>
    </r>
  </si>
  <si>
    <r>
      <rPr>
        <b/>
        <sz val="11"/>
        <color theme="1"/>
        <rFont val="Arial"/>
        <family val="2"/>
      </rPr>
      <t>Nota 3:</t>
    </r>
    <r>
      <rPr>
        <sz val="11"/>
        <color theme="1"/>
        <rFont val="Arial"/>
        <family val="2"/>
      </rPr>
      <t xml:space="preserve"> Se deberán considerar dentro de los criterios base para la selección de la muestra, los resultados de la aplicación del PVCGF-15-11 Matriz de Riesgos y Controles.</t>
    </r>
  </si>
  <si>
    <t>Situacionf</t>
  </si>
  <si>
    <t>Cuantiaf</t>
  </si>
  <si>
    <t>Activo</t>
  </si>
  <si>
    <t>Pasivo</t>
  </si>
  <si>
    <t>Patrimonio</t>
  </si>
  <si>
    <t>Pasivo + Patrimonio</t>
  </si>
  <si>
    <t>ESTADOS FINANCIEROS - ESTADO DE RESULTADOS</t>
  </si>
  <si>
    <t>Explicación de principales variaciones (Ver Notas a los Estados Financieros - Revelaciones)</t>
  </si>
  <si>
    <t>CUENTAS CORRELATIVAS A LAS CUENTAS DE BALANCE SELECCIONADAS EN LA MUESTRA</t>
  </si>
  <si>
    <t>UUJ</t>
  </si>
  <si>
    <t>JFFF</t>
  </si>
  <si>
    <t>DDDDD</t>
  </si>
  <si>
    <t>FFG</t>
  </si>
  <si>
    <t>ASD</t>
  </si>
  <si>
    <t>ERF</t>
  </si>
  <si>
    <t>JJJKJ</t>
  </si>
  <si>
    <t>Estado de resultados</t>
  </si>
  <si>
    <t>$</t>
  </si>
  <si>
    <t>Ingresos</t>
  </si>
  <si>
    <t>Gastos</t>
  </si>
  <si>
    <t>Código de Auditoría:</t>
  </si>
  <si>
    <t>ASPECTOS A TENER EN CUENTA PARA DEFINIR LA MATERIALIDAD CUANTITATIVA PARA ESTADOS FINANCIEROS EN SU CONJUNTO.</t>
  </si>
  <si>
    <r>
      <rPr>
        <b/>
        <sz val="12"/>
        <color theme="1"/>
        <rFont val="Arial"/>
        <family val="2"/>
      </rPr>
      <t xml:space="preserve">MATERIALIDAD CUANTITATIVA PARA LAS INCORRECCIONES E IMPOSIBILIDADES </t>
    </r>
    <r>
      <rPr>
        <sz val="12"/>
        <color theme="1"/>
        <rFont val="Arial"/>
        <family val="2"/>
      </rPr>
      <t xml:space="preserve">
Este instrumento está compuesto por las siguientes secciones:
1. Criterios para clasificación de riesgo del proceso de estados financieros.
2. Aplicación de criterios para la clasificación de riesgo del sujeto de vigilancia y control fiscal.
3. Base y Porcentaje referente Para Establecer La Materialidad.
4. materialidad determinada para el sujeto de vigilancia y control fiscal.
5. estructura de niveles, rangos para determinar la materialidad de los sujetos de vigilancia y control fiscal.
6. materialidad determinada para el sujeto de control y parametrización del momento en que surgen las opiniones modificadas.</t>
    </r>
  </si>
  <si>
    <r>
      <t xml:space="preserve">MATERIALIDAD </t>
    </r>
    <r>
      <rPr>
        <b/>
        <sz val="12"/>
        <color indexed="8"/>
        <rFont val="Arial"/>
        <family val="2"/>
      </rPr>
      <t>CUANTITATIVA - PARA INCORRECCIONES E IMPOSIBILIDADES O SU SUMATORIA</t>
    </r>
  </si>
  <si>
    <t>1. CRITERIOS PARA CLASIFICACIÓN DE RIESGO DEL PROCESO DE ESTADOS FINANCIEROS (Sección Informativa no requiere ningún diligenciamiento):</t>
  </si>
  <si>
    <t>Opinión auditoría Estados Financieros</t>
  </si>
  <si>
    <t>Calificación Control Interno Contable - Proceso Estados Financieros</t>
  </si>
  <si>
    <t>Fenecimiento de la cuenta</t>
  </si>
  <si>
    <t>Riesgo Residual o Combinado - Proceso Estados Financieros</t>
  </si>
  <si>
    <t>Sin salvedades</t>
  </si>
  <si>
    <t>Fenecida</t>
  </si>
  <si>
    <t>Con salvedades</t>
  </si>
  <si>
    <t>No fenecida</t>
  </si>
  <si>
    <t>Critico</t>
  </si>
  <si>
    <t>Dado que la materialidad se encuentra directamente relacionada con el nivel de riesgo del sujeto de control, en esta sección se presentan los criterios utilizados para establecer el nivel de riesgo de auditoría del proceso de Estados Financieros del Sujeto de Vigilancia y Control Fiscal, de los cuales 3 corresponden a la auditoría de Regularidad o Financiera y de Gestión anterior (Opinión sobre los Estados Financieros, la Calificación de Control Interno Contable y el Fenecimiento de la Cuenta) y uno a la presente auditoría que corresponde al Riesgo Residual o Combinado – Proceso Estados Financieros.</t>
  </si>
  <si>
    <t>2. APLICACIÓN DE CRITERIOS PARA LA CLASIFICACIÓN DE RIESGO DEL SUJETO DE VIGILANCIA Y CONTROL FISCAL</t>
  </si>
  <si>
    <t>Opinión auditoría anterior</t>
  </si>
  <si>
    <t>Fenecimiento de la cuenta
auditoría anterior</t>
  </si>
  <si>
    <t>De conformidad con la escala de valoración de los riesgos establecidos en el numeral 1 de este instructivo, el auditor deberá proceder a incorporar las calificaciones correspondientes utilizando las listas desplegables diseñadas para el efecto.
Los puntos se van acumulando en la medida en que el auditor selecciona cada una de las opciones y su sumatoria determina un nivel de riesgo</t>
  </si>
  <si>
    <t>3. BASE Y PORCENTAJE REFERENTE PARA ESTABLECER LA MATERIALIDAD (Sección Informativa no requiere ningún diligenciamiento):</t>
  </si>
  <si>
    <t>Bases</t>
  </si>
  <si>
    <t>Rango de Porcentajes</t>
  </si>
  <si>
    <t>Criterios para establecer el porcentaje de Materialidad</t>
  </si>
  <si>
    <t>Activos</t>
  </si>
  <si>
    <t>1 -3%</t>
  </si>
  <si>
    <t>De conformidad con el rango general establecido por   Guía para el uso de las Normas Internacionales de Pequeñas y Medianas Empresas - Guía Practica (Tercera edición) expedida por la Federación Internacional de Contadores - IFAC que va del 1% al 3%, se estableció la materialidad % por nivel.</t>
  </si>
  <si>
    <t>Pasivos (+) Patrimonio</t>
  </si>
  <si>
    <t>Para la Contraloría de Bogotá se determinó que la base a utilizar para determinar la materialidad serán los activos y el rango de porcentajes a aplicar se adoptó de la Guía para el uso de las Normas Internacionales de Pequeñas y Medianas Empresas - Guía Práctica expedida por la IFAC.</t>
  </si>
  <si>
    <t>4. ESTRUCTURA DE NIVELES, RANGOS PARA DETERMINAR LA MATERIALIDAD DE LOS SUJETOS DE VIGILANCIA Y CONTROL FISCAL (Sección Informativa no requiere ningún diligenciamiento):</t>
  </si>
  <si>
    <t>Sumatoria puntaje de variables y agrupaciones de los sujetos por NIVEL</t>
  </si>
  <si>
    <t>Calificación de criterios de gestión</t>
  </si>
  <si>
    <t>Rango establecido para determinar Materialidad</t>
  </si>
  <si>
    <t>% Materialidad establecido según nivel de riesgo del sujeto de control</t>
  </si>
  <si>
    <t>Aspectos considerados para determinar el % de Materialidad</t>
  </si>
  <si>
    <t>MEJOR CALIFICACIÓN</t>
  </si>
  <si>
    <t>Entre &gt;2,3% y &lt;=3%</t>
  </si>
  <si>
    <t>A menor puntaje de la calificación de las variables de auditoría (Mejores resultados), mayor tolerancia o porcentaje de materialidad cuantitativa.</t>
  </si>
  <si>
    <t>NIVEL 2
Entre 8 y 11 Puntos</t>
  </si>
  <si>
    <t>CALIFICACIÓN INTERMEDIA</t>
  </si>
  <si>
    <t>Entre &gt;1,7% y &lt;=2,3%</t>
  </si>
  <si>
    <t>En virtud a la rigurosidad de los rangos determinados, se consideró el límite superior por ser el más objetivo para el sujeto de vigilancia y control fiscal.</t>
  </si>
  <si>
    <t>NIVEL 3
Entre 12 y 16 Puntos</t>
  </si>
  <si>
    <t>PEOR CALIFICACION</t>
  </si>
  <si>
    <t>Entre &gt;=1,0% y &lt;=1,7%</t>
  </si>
  <si>
    <t>A partir del numeral 3 de este instructivo, se crearon tres niveles de riesgo según la sumatoria mínima y máxima de los criterios aplicados en el numeral 2 de este instructivo, para los cuales se fijaron rangos porcentuales proporcionales y a partir de estos se tomó el límite superior de cada uno de ellos, porcentaje que se aplicara al valor total de los activos.
Entre más alta es la sumatoria de puntos, menor será el rango porcentual y por lo tanto la materialidad. Si, por ejemplo, el sujeto auditado dispone de un control interno efectivo, y baja probabilidad de que los riesgos puedan materializarse, el nivel será uno (1) y la materialidad podrá ser mayor; por el contrario, si el control interno no es efectivo y el auditor interpreta que los riesgos puedan materializarse, se aplica un porcentaje menor.</t>
  </si>
  <si>
    <t>5. MATERIALIDAD DETERMINADA PARA EL SUJETO DE VIGILANCIA Y CONTROL FISCAL</t>
  </si>
  <si>
    <t>Suma de puntos</t>
  </si>
  <si>
    <t>Base seleccionada</t>
  </si>
  <si>
    <t>Monto Total</t>
  </si>
  <si>
    <t>% Materialidad establecido según nivel de Riesgo del Sujeto de Control</t>
  </si>
  <si>
    <t>Valor Materialidad en Pesos</t>
  </si>
  <si>
    <t>Esta sección se alimenta automáticamente al diligenciar lo establecido en el numeral 2 de este instructivo. El auditor solamente debe registrar el valor total de los activos y automáticamente le generara el valor de la materialidad en pesos.</t>
  </si>
  <si>
    <t>6. PARAMETRIZACIÓN DE LAS INCORRECCIONES + LAS IMPOSIBILIDADES QUE DARÍAN LUGAR A OPINIONES MODIFICADAS (Sección que se procesa de manera automática, no requiere diligenciamiento):</t>
  </si>
  <si>
    <t xml:space="preserve">SUMA DE LOS %(S) Y DE LOS VALORES DE LAS INCORRECCIONES MAS LAS IMPOSIBILIDADES QUE GENERAN OPINIÓN MODIFICADA SEGÚN EL NIVEL </t>
  </si>
  <si>
    <t>MATERIALIDAD DETERMINADA PARA EL SUJETO DE CONTROL</t>
  </si>
  <si>
    <t>SIN SALVEDADES</t>
  </si>
  <si>
    <t>MATERIALES NO GENERALIZADAS = CON SALVEDADES</t>
  </si>
  <si>
    <t>MATERIALES GENERALIZADAS = NEGATIVA/ ABSTENCIÓN</t>
  </si>
  <si>
    <t>Base Seleccionada</t>
  </si>
  <si>
    <t>Monto</t>
  </si>
  <si>
    <t>Valor Materialidad en Nivel 1</t>
  </si>
  <si>
    <t>MENOR QUE 1 VEZ</t>
  </si>
  <si>
    <t>MAYOR O IGUAL QUE 1 Y MENOR QUE 5 VECES</t>
  </si>
  <si>
    <t>IGUAL O MAYOR  QUE 5 VECES</t>
  </si>
  <si>
    <t>En %</t>
  </si>
  <si>
    <t>Menor que</t>
  </si>
  <si>
    <t>Entre</t>
  </si>
  <si>
    <t>y menor que</t>
  </si>
  <si>
    <t>En Pesos</t>
  </si>
  <si>
    <t xml:space="preserve">CONCLUSION: </t>
  </si>
  <si>
    <t xml:space="preserve">Fecha Inicio: </t>
  </si>
  <si>
    <t>Fecha Terminación:</t>
  </si>
  <si>
    <t>Elaborado por:</t>
  </si>
  <si>
    <t>Nombre:</t>
  </si>
  <si>
    <t>Cargo:</t>
  </si>
  <si>
    <t xml:space="preserve">Firma:  </t>
  </si>
  <si>
    <t xml:space="preserve">Revisado por: </t>
  </si>
  <si>
    <t xml:space="preserve">Cargo: </t>
  </si>
  <si>
    <t xml:space="preserve">Firma: </t>
  </si>
  <si>
    <t xml:space="preserve">Fecha de Revisión: </t>
  </si>
  <si>
    <t>CÁLCULO  MATERIALIDAD DE PLANEACIÓN - MP PRESUPUESTAL</t>
  </si>
  <si>
    <t>Entidad auditada:</t>
  </si>
  <si>
    <t>Periodo auditado:</t>
  </si>
  <si>
    <t xml:space="preserve"> De 1.0 a 1.5</t>
  </si>
  <si>
    <t>Fecha de realización</t>
  </si>
  <si>
    <t>De &gt; 1.5 a &lt; 2.0</t>
  </si>
  <si>
    <t xml:space="preserve">Con deficiencias </t>
  </si>
  <si>
    <t>Referenciación:</t>
  </si>
  <si>
    <t xml:space="preserve"> De 2.0 a 3.0</t>
  </si>
  <si>
    <r>
      <t xml:space="preserve">MATERIALIDAD </t>
    </r>
    <r>
      <rPr>
        <b/>
        <sz val="12"/>
        <color indexed="8"/>
        <rFont val="Calibri"/>
        <family val="2"/>
        <scheme val="minor"/>
      </rPr>
      <t>PARA CONCEPTO GESTION PRESUPUESTAL</t>
    </r>
  </si>
  <si>
    <t>I. Seleccione primero las opciones de ayudas de antecedentes. Ingrese manualmente el valor de la base escogida a 31 de diciembre de la vigencia auditada e ingrese manualmente el porcentaje, tenga en cuenta que debe estar dentro del rango.</t>
  </si>
  <si>
    <t>Concepto auditoría anterior</t>
  </si>
  <si>
    <t>Calificación Control Interno
auditoría anterior</t>
  </si>
  <si>
    <t>Diseño del control de la auditoría actual</t>
  </si>
  <si>
    <t>Riesgo combinado de la
 auditoría actual</t>
  </si>
  <si>
    <t>SUMA DE PUNTOS</t>
  </si>
  <si>
    <t>% DE MATERIALIDAD - LA BASE SOBRE EL VR DE LOS INGRESOS Y GASTOS PRESUPUESTALES EJECUTADOS</t>
  </si>
  <si>
    <t>% DE MATERIALIDAD SELECCIONADO EN EL RANGO</t>
  </si>
  <si>
    <r>
      <t xml:space="preserve">Nivel 1 </t>
    </r>
    <r>
      <rPr>
        <b/>
        <sz val="10"/>
        <color theme="1"/>
        <rFont val="Calibri"/>
        <family val="2"/>
        <scheme val="minor"/>
      </rPr>
      <t xml:space="preserve"> (0 - 5 Puntos)</t>
    </r>
  </si>
  <si>
    <t>Mejor calificación</t>
  </si>
  <si>
    <t>Entre &gt;2,08% y &lt;=3,0%</t>
  </si>
  <si>
    <r>
      <t>Nivel 2</t>
    </r>
    <r>
      <rPr>
        <b/>
        <sz val="10"/>
        <color theme="1"/>
        <rFont val="Calibri"/>
        <family val="2"/>
        <scheme val="minor"/>
      </rPr>
      <t xml:space="preserve"> (6 - 10 Puntos)</t>
    </r>
  </si>
  <si>
    <t>Calificación intermedia</t>
  </si>
  <si>
    <t>Entre &gt;1,17% y &lt;=2,08%</t>
  </si>
  <si>
    <r>
      <t>Nivel 3</t>
    </r>
    <r>
      <rPr>
        <b/>
        <sz val="10"/>
        <color theme="1"/>
        <rFont val="Calibri"/>
        <family val="2"/>
        <scheme val="minor"/>
      </rPr>
      <t xml:space="preserve"> (11 - 15 Puntos)</t>
    </r>
  </si>
  <si>
    <t>Baja calificación</t>
  </si>
  <si>
    <t>Entre &gt;=0,25% y &lt;=1,17%</t>
  </si>
  <si>
    <t>MATERIALIDAD CUANTITATIVA EJECUCION INGRESOS Y GASTOS</t>
  </si>
  <si>
    <t>Ejecución presupuestal de ingresos</t>
  </si>
  <si>
    <t>% Materialidad para ejecución de ingresos</t>
  </si>
  <si>
    <t xml:space="preserve">Valor Materialidad </t>
  </si>
  <si>
    <t>Ejecución presupuestal de gastos</t>
  </si>
  <si>
    <t>% Materialidad para ejecución de gastos</t>
  </si>
  <si>
    <t xml:space="preserve">Ejecución presupuestal Otros Rubros </t>
  </si>
  <si>
    <t>Cuenta</t>
  </si>
  <si>
    <t>Subcuenta</t>
  </si>
  <si>
    <t>Valor Rubro $</t>
  </si>
  <si>
    <t>Valor Materialidad $</t>
  </si>
  <si>
    <t>GASTOS DE COMERCIALIZACIÓN Y PRODUCCIÓN</t>
  </si>
  <si>
    <t>Materiales y Suministros</t>
  </si>
  <si>
    <t>Adquisición de Servicios</t>
  </si>
  <si>
    <t>RESERVAS PRESUPUESTALES CONSTITUIDAS</t>
  </si>
  <si>
    <t>CUENTAS POR PAGAR</t>
  </si>
  <si>
    <t>OBLIGACIONES POR PAGAR</t>
  </si>
  <si>
    <r>
      <rPr>
        <b/>
        <u/>
        <sz val="11"/>
        <color theme="1"/>
        <rFont val="Calibri"/>
        <family val="2"/>
        <scheme val="minor"/>
      </rPr>
      <t>Justificación para seleccionar el porcentaje.  Entre 0,25% y 1,17%.</t>
    </r>
    <r>
      <rPr>
        <sz val="11"/>
        <color theme="1"/>
        <rFont val="Calibri"/>
        <family val="2"/>
        <scheme val="minor"/>
      </rPr>
      <t xml:space="preserve"> </t>
    </r>
    <r>
      <rPr>
        <sz val="11"/>
        <color indexed="8"/>
        <rFont val="Calibri"/>
        <family val="2"/>
        <scheme val="minor"/>
      </rPr>
      <t xml:space="preserve">Se escogio el porcentaje, 0.7%  % teniendo en cuenta la ejecución del presupuesto de inversión de la entidad. Se estimo un riesgo combinado medio y un diseño de controles parcialmente adecuado.
</t>
    </r>
    <r>
      <rPr>
        <u/>
        <sz val="11"/>
        <color indexed="8"/>
        <rFont val="Calibri"/>
        <family val="2"/>
        <scheme val="minor"/>
      </rPr>
      <t xml:space="preserve">
</t>
    </r>
  </si>
  <si>
    <t>MATERIALIDAD DE PLANEACIÓN CUALITATIVA</t>
  </si>
  <si>
    <t>Se considerarán criterios cualitativos los relacionados con clasificación, revelación, presentación o circunstancias. Debe delimitarse muy bien el nivel de la MP, teniendo en cuenta que es posible que la situacion no se pueda valorar. Debe definirse claramente la condición de la operación, transacción, rubro o circunstancia, que lo convierten en material.</t>
  </si>
  <si>
    <t>BASE SELECCIONADA</t>
  </si>
  <si>
    <t>%</t>
  </si>
  <si>
    <t>Criterio cualitativo</t>
  </si>
  <si>
    <t>Condición de la operación, transacción, saldo o circunstancia para que sea material</t>
  </si>
  <si>
    <t>MP</t>
  </si>
  <si>
    <t xml:space="preserve">Nivel aceptado de MP Cualitativa </t>
  </si>
  <si>
    <t>Circunstancia</t>
  </si>
  <si>
    <t>Por debajo de lo estimado</t>
  </si>
  <si>
    <t>MATERIALIDAD DE EJECUCIÓN - ME -</t>
  </si>
  <si>
    <t>Generalmente se toma entre un 60% a 80% de la MP cuantitativa, en la primera fila elija un porcentaje entre este rango para las cuentas a nivel general. Sin embargo, es posible que existan saldos, transacciones u operaciones especificos en los que deban definirse niveles más bajos de ME, documentelos en las filas siguientes (inserte las necesarias).</t>
  </si>
  <si>
    <t>Cuentas a nivel general</t>
  </si>
  <si>
    <t>Concepto rubro</t>
  </si>
  <si>
    <t>Valor MP</t>
  </si>
  <si>
    <t>ME</t>
  </si>
  <si>
    <t>Saldos, transacciones u operaciones especificas presupuestales</t>
  </si>
  <si>
    <t>Valor</t>
  </si>
  <si>
    <t>Gastos de operación</t>
  </si>
  <si>
    <t>NIVEL DE INCORRECCIONES CLARAMENTE INSIGNIFICANTES</t>
  </si>
  <si>
    <t>Se puede determinar un valor por debajo del cual las incorrecciones se consideren claramente insignificantes y, por lo tanto no es necesario acumularlas porque se espera que su acumulación no tendrá un efecto material sobre los estados financieros. Pueden ser de tipo cuantitativo o de tipo cualitativo.  Si es de tipo cuantitativo puede tomar entre el rango del 2% al 8%  de la MP cuantitativa.</t>
  </si>
  <si>
    <t>Valor tipo cuantitativo</t>
  </si>
  <si>
    <t xml:space="preserve">MP Incorrecciones insignificantes </t>
  </si>
  <si>
    <t>Descripción tipo cualitativo</t>
  </si>
  <si>
    <t>SSS</t>
  </si>
  <si>
    <t>Diseño y formulación: Esmeralda Martín y Joaquin Leal</t>
  </si>
  <si>
    <t>Rol:</t>
  </si>
  <si>
    <t>Firma</t>
  </si>
  <si>
    <t>Calificación CI vigencia anterior</t>
  </si>
  <si>
    <t>Riesgo combinado</t>
  </si>
  <si>
    <t>Diseño del control</t>
  </si>
  <si>
    <t>CRITERIOS</t>
  </si>
  <si>
    <t>EXISTENCIA DE HALLAZGOS VIGENCIAS ANTERIORES</t>
  </si>
  <si>
    <t>Opinión presupuestal</t>
  </si>
  <si>
    <t>RIESGO COMBINADO VIGENCIA AUDITADA</t>
  </si>
  <si>
    <t>DISEÑO DEL CONTROL VIGENCIA AUDITADA</t>
  </si>
  <si>
    <t xml:space="preserve">bases presupuesto </t>
  </si>
  <si>
    <t xml:space="preserve">BASES FINANCIERA </t>
  </si>
  <si>
    <t>Negativa o abstención</t>
  </si>
  <si>
    <t>Alto-Crítico</t>
  </si>
  <si>
    <t>Superavit o deficit</t>
  </si>
  <si>
    <t>Fiscales o penales</t>
  </si>
  <si>
    <t>No razonable o abstención</t>
  </si>
  <si>
    <t>Inadecuado o inexistente</t>
  </si>
  <si>
    <t>Programación de ingresos</t>
  </si>
  <si>
    <t>Incorrección en cuentas del Activo</t>
  </si>
  <si>
    <t>Parcialmente adecuado</t>
  </si>
  <si>
    <t>Ingresos o gastos</t>
  </si>
  <si>
    <t>Disciplinarios</t>
  </si>
  <si>
    <t>Ejecución de ingresos</t>
  </si>
  <si>
    <t>Incorreccion en la cuenta del Patrimonio</t>
  </si>
  <si>
    <t>Utilidad bruta</t>
  </si>
  <si>
    <t>Administrativos</t>
  </si>
  <si>
    <t>Razonable</t>
  </si>
  <si>
    <t>Adecuado</t>
  </si>
  <si>
    <t>Programación de gastos</t>
  </si>
  <si>
    <t xml:space="preserve">Incorreccion en la cuenta del Pasivo </t>
  </si>
  <si>
    <t>Patrimonio o pasivos</t>
  </si>
  <si>
    <t>Ejecución de gastos</t>
  </si>
  <si>
    <t xml:space="preserve">INGRESOS </t>
  </si>
  <si>
    <t>UTILIDAD O PÉRDIDA</t>
  </si>
  <si>
    <t>Utilidad antes de impuestos</t>
  </si>
  <si>
    <t>UTILIDAD BRUTA</t>
  </si>
  <si>
    <t>Fecha realización:</t>
  </si>
  <si>
    <t>Fecha revisión:</t>
  </si>
  <si>
    <t>PROCESO:</t>
  </si>
  <si>
    <t xml:space="preserve">Seleccione aquí:      </t>
  </si>
  <si>
    <t>Claudia López</t>
  </si>
  <si>
    <t>Programa 1</t>
  </si>
  <si>
    <t>Proyecto No. 1</t>
  </si>
  <si>
    <t>Meta 1</t>
  </si>
  <si>
    <t>Carlos Galán</t>
  </si>
  <si>
    <t>Meta 2</t>
  </si>
  <si>
    <t>Eje 1</t>
  </si>
  <si>
    <t>Meta 3</t>
  </si>
  <si>
    <t>Proyecto No. 5</t>
  </si>
  <si>
    <t>Programa 2</t>
  </si>
  <si>
    <t>Meta 4</t>
  </si>
  <si>
    <t>rrrrr</t>
  </si>
  <si>
    <t>Eje 2</t>
  </si>
  <si>
    <t>uuuuu</t>
  </si>
  <si>
    <t>ooooo</t>
  </si>
  <si>
    <t>ppppp</t>
  </si>
  <si>
    <t>PLAN ESTRATEGICO INSTITUCIONAL o CORPORATIVO o el que haga sus veces</t>
  </si>
  <si>
    <r>
      <rPr>
        <b/>
        <sz val="11"/>
        <color theme="1"/>
        <rFont val="Arial"/>
        <family val="2"/>
      </rPr>
      <t xml:space="preserve">Este documento se estructuró, así:
</t>
    </r>
    <r>
      <rPr>
        <sz val="11"/>
        <color theme="1"/>
        <rFont val="Arial"/>
        <family val="2"/>
      </rPr>
      <t xml:space="preserve">
Primera Sección: “UNIVERSO Y MUESTRA DEL ESTADO DE SITUACIÓN FINANCIERA Y DEL ESTADO DE RESULTADOS”.
Segunda Sección: “INCORRECCIONES E IMPOSIBILIDADES DEL ESTADO DE SITUACIÓN FINANCIERA POR CUENTAS - HALLAZGOS FORMULADOS”.
Tercera Sección: “TIPOS DE OPINIONES, SUS PARÁMETROS, CALIFICACIÓN Y CONCEPTO DEL PRINCIPIO EVALUADO” (Sección Informativa no requiere ningún diligenciamiento).
Cuarta Sección “NÚMERO DE INCORRECCIONES E IMPOSIBILIDADES EN FUNCIÓN A LA MATERIALIDAD” (Esta información se genera automáticamente con el diligenciamiento de la segunda sección, no se requiere digitar ningún dato).
Quinta Sección: “MATERIALIDAD DETERMINADA PARA EL SUJETO DE VIGILANCIA Y CONTROL FISCAL” (Esta información se genera automáticamente con el diligenciamiento de la hoja PVCGF-04-XX Materialidad para Estados Financieros, no digitar ningún dato).
Sexta Sección: “DETERMINACIÓN DE LOS TIPOS DE OPINIÓN”. (Sección Informativa no requiere digitar ningún dato).
Séptima Sección: “NIVEL DE MATERIALIDAD DE LAS IMPOSIBILIDADES Y LAS INCORRECCIONES”. (Esta información se genera automáticamente, no se requiere digitar ningún dato).
Octava Sección: “OPINIÓN OBTENIDA Y CALIFICACIÓN DEL PRINCIPIO EVALUADO”. (Esta información se genera automáticamente con el diligenciamiento de la segunda sección, no se requiere digitar ningún dato).</t>
    </r>
  </si>
  <si>
    <t>1. UNIVERSO Y MUESTRA DEL ESTADO DE SITUACION FINANCIERA Y DEL ESTADO DE RESULTADOS</t>
  </si>
  <si>
    <t>GRUPO</t>
  </si>
  <si>
    <t>SALDOS SEGÚN ESTADOS FINACIEROS</t>
  </si>
  <si>
    <t>SUMA DE LOS SALDOS POSITIVOS Y NEGATIVOS DE LOS ESTADOS FINANCIEROS</t>
  </si>
  <si>
    <t>PART % DE LA MUESTRA</t>
  </si>
  <si>
    <t>TOTAL ACTIVOS</t>
  </si>
  <si>
    <t>TOTAL PASIVO + PATRIMONIO</t>
  </si>
  <si>
    <t>TOTAL INGRESOS</t>
  </si>
  <si>
    <t>TOTAL GASTOS</t>
  </si>
  <si>
    <r>
      <t>Los saldos del grupo total de Activos, Pasivos y Patrimonio según Estados Financieros, la suma de los saldos positivos y negativos de los estados financieros, la Muestra y la participación (%) de la muestra, no se deben digitar, toda vez que estos se obtendrán automáticamente producto del diligenciamiento de la segunda sección “</t>
    </r>
    <r>
      <rPr>
        <i/>
        <sz val="12"/>
        <rFont val="Arial"/>
        <family val="2"/>
      </rPr>
      <t>INCORRECCIONES E IMPOSIBILIDADES DEL ESTADO DE SITUACIÓN FINANCIERA POR CUENTAS - HALLAZGOS FORMULADOS</t>
    </r>
    <r>
      <rPr>
        <sz val="12"/>
        <rFont val="Arial"/>
        <family val="2"/>
      </rPr>
      <t>”. Mientras que los totales de Ingresos y Gastos y su muestra si deberán ser diligenciados por cada auditor.
Esta sección nos permitirá establecer, además de la muestra evaluada por grupo de cuentas, la consistencia con la muestra establecida en el Plan de Trabajo, obteniéndose una visión general del auditaje realizado. Así mismo, servirá de insumo para ajustar futuros procesos a evaluar; en casos de muestras no representativas donde se desborde la capacidad operativa de los contadores comisionados, frente a la complejidad y magnitud de las operaciones del sujeto auditado; situaciones en la que los Directores Sectoriales deberán reforzar el equipo de contadores comisionados para que se pueda dar cumplimiento a los objetivos planteados para este proceso y se minimicen los riesgos de auditoría.</t>
    </r>
  </si>
  <si>
    <t>2. INCORRECCIONES E IMPOSIBILIDADES DEL ESTADO DE SITUACIÓN FINANCIERA POR CUENTAS - HALLAZGOS FORMULADOS</t>
  </si>
  <si>
    <t>CALIFICACIÓN OPINIÓN ESTADOS FINANCIEROS</t>
  </si>
  <si>
    <t>CIFRAS EN</t>
  </si>
  <si>
    <t>PESOS</t>
  </si>
  <si>
    <t>CUENTAS Y SALDOS PRESENTADOS A DICIEMBRE 31 DE _______</t>
  </si>
  <si>
    <t>VALOR DIFERENCIAS ABSOLUTAS</t>
  </si>
  <si>
    <t>CODIGO DE LA CUENTA</t>
  </si>
  <si>
    <r>
      <t xml:space="preserve">CUENTA DEL </t>
    </r>
    <r>
      <rPr>
        <b/>
        <sz val="12"/>
        <rFont val="Arial"/>
        <family val="2"/>
      </rPr>
      <t>ACTIVO</t>
    </r>
    <r>
      <rPr>
        <b/>
        <sz val="11"/>
        <rFont val="Arial"/>
        <family val="2"/>
      </rPr>
      <t xml:space="preserve">
</t>
    </r>
    <r>
      <rPr>
        <b/>
        <sz val="9"/>
        <rFont val="Arial"/>
        <family val="2"/>
      </rPr>
      <t>(SI LA CUENTA NO FUE AUDITADA SE REGISTRA A NIVEL DE 4 DIGITOS - SI FUE AUDITADA AL MAYOR NIVEL DE DESAGREGACIÓN)</t>
    </r>
  </si>
  <si>
    <t>SALDO SEGÚN ESTADO DE SITUACIÓN FINANCIERA</t>
  </si>
  <si>
    <t>MUESTRA DE AUDITORIA (Relacione con signo positivo todos los valores seleccionados)</t>
  </si>
  <si>
    <t>SOBRESTIMACION
(Relacione con signo positivo el valor</t>
  </si>
  <si>
    <t>SUBESTIMACION
(Relacione con signo positivo el valor)</t>
  </si>
  <si>
    <t>TOTAL
INCORRECCIONES (Relacione con signo positivo el valor)</t>
  </si>
  <si>
    <t>TOTAL IMPOSIBILIDADES (Relacione con signo positivo el valor)</t>
  </si>
  <si>
    <t>SUMATORIA TOTAL DE INCORRECCIONES + TOTAL DE IMPOSIBILIDADES</t>
  </si>
  <si>
    <t>ORIGEN DE LA IMPOSIBILIDAD</t>
  </si>
  <si>
    <t>TIPO DE HALLAZGO</t>
  </si>
  <si>
    <t>NUMERAL DEL HALLAZGO DEL INFORME FINAL</t>
  </si>
  <si>
    <t>DEPOSITOS EN INSTITUCIONES FINANCIERAS</t>
  </si>
  <si>
    <t>Administrativo</t>
  </si>
  <si>
    <t>EFECTIVO DE USO RESTRINGIDO</t>
  </si>
  <si>
    <t>INVERSIONES AD.LIQUIDEZ V/R MERCADO</t>
  </si>
  <si>
    <t>INVERSIONES AD.LIQUIDEZ AL COSTO</t>
  </si>
  <si>
    <t>INVER.CONTR. PARTIDAS PATRIMONIALES</t>
  </si>
  <si>
    <t>PROV.PROTE.INVERSIONES</t>
  </si>
  <si>
    <t>PRESTACION DE SERVICIOS</t>
  </si>
  <si>
    <t>PRESTACION DE SERVICIOS PUBLICOS</t>
  </si>
  <si>
    <t>OTRAS CUENTAS POR COBRAR</t>
  </si>
  <si>
    <t>3.3.1.1</t>
  </si>
  <si>
    <t>CUENTAS POR COBRAR DE DIFICIL COBRO</t>
  </si>
  <si>
    <t>DETERIORO ACUMULADO DE CUENTAS POR COBRAR</t>
  </si>
  <si>
    <t>DETERIORO OTRAS CUENTAS PO COBRAR</t>
  </si>
  <si>
    <t>DEUDORES PRESTAMOS CONCEDIDOS</t>
  </si>
  <si>
    <t>PROVISION PARA DEUDORES</t>
  </si>
  <si>
    <t>INVENTARIOS MERCANCIAS EN EXISTENCIA</t>
  </si>
  <si>
    <t>MERCANCIAS Y SUMINISTROS</t>
  </si>
  <si>
    <t>PROVISIÓN .PROTEC. DE INVENTARIOS</t>
  </si>
  <si>
    <t>DETERIORO MATERIALES ACUEDUCTO</t>
  </si>
  <si>
    <t>TERRENOS</t>
  </si>
  <si>
    <t>3.3.1.2</t>
  </si>
  <si>
    <t>SEMOVIENTES Y PLANTAS</t>
  </si>
  <si>
    <t>CONSTRUCCIONES EN CURSO</t>
  </si>
  <si>
    <t>MAQUINARIA PLANTA Y EQUIPO EN MONTAJE</t>
  </si>
  <si>
    <t>EQUIPOS EN TRANSITO</t>
  </si>
  <si>
    <t>PROP.PLANTA Y EQUIPO NO EXPLOTADOS</t>
  </si>
  <si>
    <t>EDIFICACIONES</t>
  </si>
  <si>
    <t>REPUESTOS</t>
  </si>
  <si>
    <t>PLANTAS DUCTOS Y TUNELES</t>
  </si>
  <si>
    <t>REDES, LIENAS Y CABLES</t>
  </si>
  <si>
    <t>MAQUINARIA Y EQUIPO</t>
  </si>
  <si>
    <t>EQUIPO MEDICO Y CIENTIFICO</t>
  </si>
  <si>
    <t>MUEBLES, ENSERES Y EQUIPO DE OFICINA</t>
  </si>
  <si>
    <t>EQUIPOS DE COMUNICACIÒN Y COMPUTACIÒN.</t>
  </si>
  <si>
    <t>EQUIPO DE TRANSPORTE, TRACCIÒN Y ELEVACIÒN</t>
  </si>
  <si>
    <t>EQUIPO DE COMEDOR COCINA Y DESPENSA</t>
  </si>
  <si>
    <t>BIENS DE ARTE Y CULTURA</t>
  </si>
  <si>
    <t>DEPRECIACION ACUMULADA (CR)</t>
  </si>
  <si>
    <t>DEPR. ACUM. REDES LINEAS Y CABLES</t>
  </si>
  <si>
    <t>DEPR.ACUM. PROP.PL. Y EQUIPO NO EXPLATADO</t>
  </si>
  <si>
    <t>PROV.PROTEC. PROP.PLAN</t>
  </si>
  <si>
    <t>DETERIORO EDIFICACIONES</t>
  </si>
  <si>
    <t>DETERIORO PROPIEDAD PLANTA Y EQUIPO</t>
  </si>
  <si>
    <t>PLAN ACTIV. BEMEFICIOS POSE</t>
  </si>
  <si>
    <t>BIENES Y SERVICIOS PAGADOS POR ANTICIPADO</t>
  </si>
  <si>
    <t>AVANCES Y ANTICIPOS</t>
  </si>
  <si>
    <t>3.3.1.3</t>
  </si>
  <si>
    <t>ANTICIPOS SALDOS A FAVOR POR IMPUESTOS Y CONTRIBUCIONES</t>
  </si>
  <si>
    <t>RECURSOS ENTREGADOS EN ADMON</t>
  </si>
  <si>
    <t>EN ADMINISTRACIÓN</t>
  </si>
  <si>
    <t>Información Inexistente</t>
  </si>
  <si>
    <t>3.3.1.4 - 3.3.1.5</t>
  </si>
  <si>
    <t>ENCARGO FIDUCIARIO</t>
  </si>
  <si>
    <t>DEPOSITOS ENTREGADOS EN GARANTIA</t>
  </si>
  <si>
    <t>INTANGIBLES</t>
  </si>
  <si>
    <t>AMORTIZACION ACUMULADA DE INTANGIBLES (CR)</t>
  </si>
  <si>
    <t>Información Incompleta</t>
  </si>
  <si>
    <t>DETERIORO ACTIVOS INTANGIBLES</t>
  </si>
  <si>
    <t>ACTIVOS POR IMPUESTOS DIFERIDOS</t>
  </si>
  <si>
    <t>TOTAL ACTIVO</t>
  </si>
  <si>
    <t>INDICE</t>
  </si>
  <si>
    <r>
      <t xml:space="preserve">CUENTA DEL </t>
    </r>
    <r>
      <rPr>
        <b/>
        <sz val="12"/>
        <rFont val="Arial"/>
        <family val="2"/>
      </rPr>
      <t>PASIVO Y PATRIMONIO</t>
    </r>
    <r>
      <rPr>
        <b/>
        <sz val="11"/>
        <rFont val="Arial"/>
        <family val="2"/>
      </rPr>
      <t xml:space="preserve">
(</t>
    </r>
    <r>
      <rPr>
        <b/>
        <sz val="9"/>
        <rFont val="Arial"/>
        <family val="2"/>
      </rPr>
      <t>SI LA CUENTA NO FUE AUDITADA SE REGISTRA A NIVEL DE 4 DIGITOS - SI FUE AUDITADA AL MAYOR NIVEL DE DESAGREGACIÓN)</t>
    </r>
  </si>
  <si>
    <t>FINANCIAMIENTO INTERNO A LARGO PLAZO</t>
  </si>
  <si>
    <t>ADQUISICIÓN DE BIENES Y SERVICIOS NAL.</t>
  </si>
  <si>
    <t>RECURSOS A  FAVOR DE TERCEROS</t>
  </si>
  <si>
    <t>RETENCIÓN EN LA FUENTE E IMPUESTOS DE TIMBRE</t>
  </si>
  <si>
    <t>IMPUESTOS  CONTRIBUCIONES Y TASAS POR PAGAR</t>
  </si>
  <si>
    <t>IMPUESTI AL VALOR AGREGADO -IVA</t>
  </si>
  <si>
    <t>OTRAS CUENTAS POR PAGAR</t>
  </si>
  <si>
    <t>BENEFICIOS A EMPLEADOS A CORTO PLAZO</t>
  </si>
  <si>
    <t>BONIFICACION BENEF. EMPL. CP</t>
  </si>
  <si>
    <t>BENEFICIO POSEMP. PENSIONADOS</t>
  </si>
  <si>
    <t>OTROS BENEFICIOS POSEMPLEADOS</t>
  </si>
  <si>
    <t>LITIGIOS Y DEMANDAS</t>
  </si>
  <si>
    <t>PROVISIONES DIVERSAS</t>
  </si>
  <si>
    <t>AVANCES Y ANTICIPOS RECIBIDOS</t>
  </si>
  <si>
    <t>ANTICIPO SOBRE VENTA DE BIENES Y SERVICIOS</t>
  </si>
  <si>
    <t>3.3.1.6</t>
  </si>
  <si>
    <t>RECURSOS RECIBIDOS EN ADMINISTRACION</t>
  </si>
  <si>
    <t>Información Inoportuna</t>
  </si>
  <si>
    <t>3.3.1.7 - 3.3.1.8</t>
  </si>
  <si>
    <t>DEPOSITOS RECIBIDOS EN GARANTÍA</t>
  </si>
  <si>
    <t>INGRESOS RECIBIDOS POR ANTICIPADO</t>
  </si>
  <si>
    <t>BONOS PENSIONALES</t>
  </si>
  <si>
    <t>OTROS PASIVOS DIFERIDOS</t>
  </si>
  <si>
    <t>CAPITAL FISCAL</t>
  </si>
  <si>
    <t>RESERVAS</t>
  </si>
  <si>
    <t>RESULTADO EJERCICIOS ANTERIORES</t>
  </si>
  <si>
    <t>RESULTADO DEL EJERCICIO</t>
  </si>
  <si>
    <t>GANANCIAS PERD. INV.LIQU A VALOR REAL</t>
  </si>
  <si>
    <t>GANANCIAS PERDIDAS INV. CONTR.</t>
  </si>
  <si>
    <t>GANANCIAS PERDID. BENEF.EMPL</t>
  </si>
  <si>
    <t>TOTAL PASIVO Y PATRIMONIO</t>
  </si>
  <si>
    <t xml:space="preserve">INDICE </t>
  </si>
  <si>
    <r>
      <t xml:space="preserve">INDICE PREDOMINANTE </t>
    </r>
    <r>
      <rPr>
        <u/>
        <sz val="11"/>
        <color indexed="10"/>
        <rFont val="Arial"/>
        <family val="2"/>
      </rPr>
      <t>EN %</t>
    </r>
  </si>
  <si>
    <r>
      <t xml:space="preserve">INDICE PREDOMINANTE </t>
    </r>
    <r>
      <rPr>
        <u/>
        <sz val="11"/>
        <color indexed="10"/>
        <rFont val="Arial"/>
        <family val="2"/>
      </rPr>
      <t>EN PESOS</t>
    </r>
  </si>
  <si>
    <r>
      <rPr>
        <b/>
        <sz val="11"/>
        <rFont val="Arial"/>
        <family val="2"/>
      </rPr>
      <t>INSTRUCCIONES PARA EL DILIGENCIAMIENTO DE ESTA SECCIÓN:</t>
    </r>
    <r>
      <rPr>
        <sz val="11"/>
        <rFont val="Arial"/>
        <family val="2"/>
      </rPr>
      <t xml:space="preserve">
•	COLUMNA A: CÓDIGO DE LA CUENTA: Digite en esta casilla, según el grupo al que corresponda (Activo, Pasivo y Patrimonio) el código numérico de la cuenta que presenta el sujeto de control en el Estado de Situación financiera, de acuerdo al catálogo general de cuentas aplicable, establecido por la Contaduría General de la Nación.
•	COLUMNA B: CUENTA DEL ACTIVO/ PASIVO O PATRIMONIO: Digite en esta casilla, según el grupo al que corresponda (Activo, Pasivo y Patrimonio) el nombre de la cuenta que presenta el sujeto de control en el Estado de Situación financiera, de acuerdo al catálogo general de cuentas aplicable, establecido por la Contaduría General de la Nación.
•	COLUMNA C: SALDO SEGÚN ESTADO DE SITUACIÓN FINANCIERA: Digite en esta casilla, según el grupo al que corresponda (Activo, Pasivo y Patrimonio) el saldo de la cuenta que presenta el sujeto de control en el Estado de Situación financiera, de acuerdo al catálogo general de cuentas aplicable, establecido por la Contaduría General de la Nación.
•	COLUMNA D: MUESTRA DE AUDITORÍA: Digite en esta casilla, según el grupo al que corresponda (Activo, Pasivo y Patrimonio) el saldo de la cuenta que fue auditada y deje en blanco las no auditadas.
Nota: Para las cuentas auditadas o que presentan saldo en la columna D, se deberán adecuar y presentar las Columnas A, B y C al mayor nivel de desagregación. Lo anterior para efectos de puntualizar la cuenta y saldo auditado, la representatividad de la muestra y determinar e identificar adecuadamente las cuentas que presentan incorrecciones e imposibilidades. Relacione en la columna los valores con signo positivo todos los valores seleccionados.
Para las cuentas no auditadas, su presentación en todos los campos se efectuará a nivel de 4 dígitos.
•	COLUMNA E: SOBRESTIMACIÓN: Registre en las celdas de esta columna el valor resultante de la sumatoria de las incorrecciones establecidas por el auditor para cada cuenta auditada, cuando el saldo presentado por el sujeto de control, sea mayor al establecido por el auditor. A manera de ejemplo: Si la cuenta Muebles y Enseres presento un saldo a diciembre 31 de 20xx de $150.000.000 y dentro de este se incluyeron $30.000.000 por concepto de bienes que la entidad dio de baja y cuyo retiro no fue registrado, este valor deberá ser registrado en esta columna. Relacione con signo positivo el valor.
•	COLUMNA F: SUBESTIMACIÓN: Registre en las celdas de esta columna el valor resultante de la sumatoria de las incorrecciones establecidas por el auditor para cada cuenta auditada, cuando el saldo presentado por el sujeto de control, sea menor al establecido por el auditor. A manera de ejemplo: Si la cuenta Muebles y Enseres que presento un saldo a diciembre 31 de 20xx de $150.000.000 y dentro de este se incluyeron $50.000.000 por concepto de bienes adquiridos que no fueron registrados, este valor deberá ser registrado en esta columna. Relacione con signo positivo el valor.</t>
    </r>
  </si>
  <si>
    <r>
      <t xml:space="preserve">•	COLUMNA G: TOTAL INCORRECCIONES: Las celdas de esta columna no se diligencian, toda vez que se generan automáticamente producto de la suma de las celdas de las columnas E (SOBRESTIMACIÓN) + F (SUBESTIMACIÓN). Relacione con signo positivo el valor.
•	COLUMNA H: TOTAL IMPOSIBILIDADES: Registre en las celdas de esta columna el valor resultante de la sumatoria de los saldos presentados por el sujeto de control de las cuentas objeto de análisis, sobre los cuales no se logró obtener evidencia válida y suficiente sobre su razonabilidad. A manera de ejemplo, cuando al examinar la cuenta Anticipos, se observa que en los registros no se encuentra identificado el tercero deudor y los documentos soportes no justifican los hechos económicos, afectando el saldo del Grupo Deudores. Relacione con signo positivo el valor.
Nota: En la medida de lo posible, identificar al máximo nivel de cuenta, el saldo u operaciones sobre los cuales se evidencia la imposibilidad para evitar generalizar esta condición a otras cuentas que no les aplique.
•	COLUMNA I:	SUMATORIA TOTAL DE INCORRECCIONES + TOTAL DE IMPOSIBILIDADES: Las celdas de esta columna no se diligencian, toda vez que se generan automáticamente producto de la suma de las celdas de las columnas G (TOTAL INCORRECCIONES) y H (TOTAL IMPOSIBILIDADES).
</t>
    </r>
    <r>
      <rPr>
        <b/>
        <sz val="11"/>
        <rFont val="Arial"/>
        <family val="2"/>
      </rPr>
      <t>Todas las celdas de las anteriores columnas se deben diligenciar en pesos.</t>
    </r>
    <r>
      <rPr>
        <sz val="11"/>
        <rFont val="Arial"/>
        <family val="2"/>
      </rPr>
      <t xml:space="preserve">
•	COLUMNA J: ORIGEN DE LA IMPOSIBILIDAD: Vía lista desplegable, incluya en las celdas correlativas a las imposibilidades establecidas, seleccionando alguna de las siguientes opciones: “INFORMACION INEXISTENTE”, “INFORMACION INCOMPLETA”, “INFORMACION INOPORTUNA” o “INFORMACION INCOMPLETA E INOPORTUNA”, de los saldos sobre los cuales no se logró obtener evidencia válida y suficiente sobre su razonabilidad.
•	COLUMNA K: TIPO DE HALLAZGO: Vía lista desplegable, incluya en las celdas correlativas, el hallazgo con su incidencia, seleccionando alguna de las opciones: “Administrativo”, “Administrativo – Disciplinaria”, “Administrativo – Disciplinaria y Penal”, “Administrativo – Disciplinaria, Penal y Fiscal” o “Administrativo – Disciplinaria y Fiscal”, de los saldos sobre los cuales se determinaron incorrecciones y/o no se logró obtener evidencia válida y suficiente sobre su razonabilidad.
•	COLUMNA L: NUMERAL DEL HALLAZGO DEL INFORME FINAL: Incluya el numeral del hallazgo bajo el cual fue presentado en el informe final de auditoría.
Una vez diligenciadas todas las celdas relacionadas anteriormente, y a partir de sus totales, tanto para las cuentas del activo, como para las de pasivo y patrimonio, se generarán automáticamente los porcentajes de: Representación de las muestras, de las incorrecciones, imposibilidades y de la sumatoria total de incorrecciones + total de imposibilidades.
Así mismo, con el fin de establecer el tipo de opinión a emitir se generaron dos filas denominadas ÍNDICE PREDOMINANTE EN % e ÍNDICE PREDOMINANTE EN PESOS, producto de obtener el mayor porcentaje (%) y valor comparativo de las desviaciones de los totales de incorrecciones y de imposibilidades por grupo del activo frente a las del pasivo y patrimonio.</t>
    </r>
  </si>
  <si>
    <r>
      <t xml:space="preserve">3. TIPOS DE OPINIONES, SUS PARAMETROS, CALIFICACIÓN Y CONCEPTO DEL PRINCIPIO EVALUADO </t>
    </r>
    <r>
      <rPr>
        <b/>
        <i/>
        <sz val="16"/>
        <rFont val="Arial"/>
        <family val="2"/>
      </rPr>
      <t>(Sección Informativa no requiere ningún diligenciamiento</t>
    </r>
    <r>
      <rPr>
        <b/>
        <sz val="16"/>
        <rFont val="Arial"/>
        <family val="2"/>
      </rPr>
      <t>):</t>
    </r>
  </si>
  <si>
    <t>OPINIÓN</t>
  </si>
  <si>
    <t>INCORRECCIONES</t>
  </si>
  <si>
    <t>IMPOSIBILIDADES</t>
  </si>
  <si>
    <t>ACUMULADO DE INCORRRECCIONES + IMPOSIBILIDADES</t>
  </si>
  <si>
    <t>Puntaje asignado de acuerdo con la Opinión</t>
  </si>
  <si>
    <t>Concepto sobre el principio de Eficacia</t>
  </si>
  <si>
    <t>LIMPIA O SIN SALVEDADES</t>
  </si>
  <si>
    <r>
      <rPr>
        <b/>
        <sz val="9"/>
        <rFont val="Arial"/>
        <family val="2"/>
      </rPr>
      <t>NO MATERIAL</t>
    </r>
    <r>
      <rPr>
        <sz val="9"/>
        <rFont val="Arial"/>
        <family val="2"/>
      </rPr>
      <t xml:space="preserve">
Menores a la materialidad cuantitativa del total de activos o del pasivo + patrimonio.</t>
    </r>
  </si>
  <si>
    <r>
      <t>NO MATERIAL</t>
    </r>
    <r>
      <rPr>
        <sz val="9"/>
        <color indexed="8"/>
        <rFont val="Arial"/>
        <family val="2"/>
      </rPr>
      <t xml:space="preserve"> 
Menores a la materialidad cuantitativa del total de activo o del pasivo + patrimonio..</t>
    </r>
  </si>
  <si>
    <r>
      <t>NO MATERIAL</t>
    </r>
    <r>
      <rPr>
        <sz val="9"/>
        <color indexed="8"/>
        <rFont val="Arial"/>
        <family val="2"/>
      </rPr>
      <t xml:space="preserve"> 
Menores a la materialidad cuantitativa del total de activo o del pasivo + patrimonio.</t>
    </r>
  </si>
  <si>
    <t>CON SALVEDADES</t>
  </si>
  <si>
    <r>
      <rPr>
        <b/>
        <sz val="9"/>
        <rFont val="Arial"/>
        <family val="2"/>
      </rPr>
      <t>MATERIAL</t>
    </r>
    <r>
      <rPr>
        <sz val="9"/>
        <rFont val="Arial"/>
        <family val="2"/>
      </rPr>
      <t xml:space="preserve"> 
Mayores o iguales a 1 y menores que 5 veces la materialidad cuantitativa obtenida para el total del activos o del pasivo + patrimonio.</t>
    </r>
  </si>
  <si>
    <r>
      <t xml:space="preserve">MATERIAL 
</t>
    </r>
    <r>
      <rPr>
        <sz val="9"/>
        <color indexed="8"/>
        <rFont val="Arial"/>
        <family val="2"/>
      </rPr>
      <t>Mayores o iguales a 1 y menores que 5 veces la materialidad cuantitativa obtenida para el total del Activo o del Pasivo más Patrimonio</t>
    </r>
  </si>
  <si>
    <r>
      <t xml:space="preserve">MATERIAL 
</t>
    </r>
    <r>
      <rPr>
        <sz val="9"/>
        <color indexed="8"/>
        <rFont val="Arial"/>
        <family val="2"/>
      </rPr>
      <t>Mayores o iguales a 1 y menores que 5 veces la materialidad cuantitativa obtenida para el total del activo o del pasivo + patrimonio.</t>
    </r>
  </si>
  <si>
    <t>ADVERSA O NEGATIVA</t>
  </si>
  <si>
    <r>
      <rPr>
        <b/>
        <sz val="9"/>
        <rFont val="Arial"/>
        <family val="2"/>
      </rPr>
      <t>MATERIAL GENERALIZADA</t>
    </r>
    <r>
      <rPr>
        <sz val="9"/>
        <rFont val="Arial"/>
        <family val="2"/>
      </rPr>
      <t xml:space="preserve">
Iguales o superiores a 5 veces la materialidad cuantitativa del activo o del pasivo + patrimonio.</t>
    </r>
  </si>
  <si>
    <r>
      <rPr>
        <b/>
        <sz val="9"/>
        <color indexed="8"/>
        <rFont val="Arial"/>
        <family val="2"/>
      </rPr>
      <t>MATERIAL GENERALIZADA</t>
    </r>
    <r>
      <rPr>
        <sz val="9"/>
        <color indexed="8"/>
        <rFont val="Arial"/>
        <family val="2"/>
      </rPr>
      <t xml:space="preserve">
Iguales o superiores a 5 veces la materialidad cuantitativa del activo o del pasivo + patrimonio.</t>
    </r>
  </si>
  <si>
    <r>
      <rPr>
        <b/>
        <sz val="9"/>
        <color indexed="8"/>
        <rFont val="Arial"/>
        <family val="2"/>
      </rPr>
      <t>MATERIAL GENERALIZADA</t>
    </r>
    <r>
      <rPr>
        <sz val="9"/>
        <color indexed="8"/>
        <rFont val="Arial"/>
        <family val="2"/>
      </rPr>
      <t xml:space="preserve">
Iguales o superiores a 5 veces la materialidad cuantitativa del total del activo o del pasivo + patrimonio.</t>
    </r>
  </si>
  <si>
    <t>DENEGACIÓN O ABSTENCIÓN</t>
  </si>
  <si>
    <r>
      <t>4. NUMERO DE INCORRECCIONES E IMPOSIBILIDADES EN FUNCIÓN A LA MATERIALIDAD (</t>
    </r>
    <r>
      <rPr>
        <b/>
        <i/>
        <sz val="16"/>
        <rFont val="Arial"/>
        <family val="2"/>
      </rPr>
      <t>Sección que se diligencia automáticamente con el diligenciamiento de la segunda sección, no digitar ningún dato</t>
    </r>
    <r>
      <rPr>
        <b/>
        <sz val="16"/>
        <rFont val="Arial"/>
        <family val="2"/>
      </rPr>
      <t>):</t>
    </r>
  </si>
  <si>
    <t>NUMERO DE INCORRECCIONES EN FUNCIÓN A LA MATERIALIDAD</t>
  </si>
  <si>
    <t>EN FUNCIÓN AL VALOR</t>
  </si>
  <si>
    <t>EN %</t>
  </si>
  <si>
    <t>NUMERO DE IMPOSIBILIDADES EN FUNCIÓN A LA MATERIALIDAD</t>
  </si>
  <si>
    <t>NUMERO DE INCORRECCIONES + IMPOSIBILIDADES EN FUNCIÓN A LA MATERIALIDAD</t>
  </si>
  <si>
    <r>
      <rPr>
        <b/>
        <u/>
        <sz val="14"/>
        <color indexed="8"/>
        <rFont val="Arial"/>
        <family val="2"/>
      </rPr>
      <t>A</t>
    </r>
    <r>
      <rPr>
        <u/>
        <sz val="14"/>
        <color indexed="8"/>
        <rFont val="Arial"/>
        <family val="2"/>
      </rPr>
      <t>. Respecto al agregado por valor:</t>
    </r>
    <r>
      <rPr>
        <sz val="14"/>
        <color indexed="8"/>
        <rFont val="Arial"/>
        <family val="2"/>
      </rPr>
      <t xml:space="preserve"> Número de veces en que las incorrecciones del </t>
    </r>
    <r>
      <rPr>
        <b/>
        <sz val="14"/>
        <color indexed="8"/>
        <rFont val="Arial"/>
        <family val="2"/>
      </rPr>
      <t>Activo</t>
    </r>
    <r>
      <rPr>
        <sz val="14"/>
        <color indexed="8"/>
        <rFont val="Arial"/>
        <family val="2"/>
      </rPr>
      <t xml:space="preserve"> sobrepasan el valor de la materialidad?</t>
    </r>
  </si>
  <si>
    <t>C. Respecto al agregado por valor: Número de veces en que las imposibilidades del Activo sobrepasan el valor de la materialidad?</t>
  </si>
  <si>
    <t>E. Respecto al agregado por valor: Número de veces en que las incorrecciones + las imposibilidades del Activo sobrepasan el valor de la materialidad?</t>
  </si>
  <si>
    <r>
      <rPr>
        <u/>
        <sz val="14"/>
        <color indexed="8"/>
        <rFont val="Arial"/>
        <family val="2"/>
      </rPr>
      <t>B. Respecto al agregado por valor:</t>
    </r>
    <r>
      <rPr>
        <sz val="14"/>
        <color indexed="8"/>
        <rFont val="Arial"/>
        <family val="2"/>
      </rPr>
      <t xml:space="preserve"> Número de veces en que las incorrecciones del </t>
    </r>
    <r>
      <rPr>
        <b/>
        <sz val="14"/>
        <color indexed="8"/>
        <rFont val="Arial"/>
        <family val="2"/>
      </rPr>
      <t>Pasivo + Patrimonio</t>
    </r>
    <r>
      <rPr>
        <sz val="14"/>
        <color indexed="8"/>
        <rFont val="Arial"/>
        <family val="2"/>
      </rPr>
      <t xml:space="preserve"> sobrepasan el valor de la materialidad?</t>
    </r>
  </si>
  <si>
    <t>D. Respecto al agregado por valor: Número de veces en que las imposibilidades del Pasivo + Patrimonio sobrepasan el valor de la materialidad?</t>
  </si>
  <si>
    <t>F. Respecto al agregado por valor: Número de veces en que las incorrecciones + las imposibilidades del Pasivo + Patrimonio sobrepasan el valor de la materialidad?</t>
  </si>
  <si>
    <t>INDICE PREDOMINATE ENTRE ACTIVOS Y PASIVOS + PATRIMONIO</t>
  </si>
  <si>
    <t>En esta sección se obtiene de manera automática el número de veces de las incorrecciones e imposibilidades en función al valor y al porcentaje establecido en materialidad cuantitativa del activo y del pasivo + patrimonio. En estos términos se establece el índice predominante entre el activo y el pasivo + patrimonio.</t>
  </si>
  <si>
    <r>
      <t>5. MATERIALIDAD DETERMINADA PARA EL SUJETO DE VIGILANCIA Y CONTROL FISCAL (</t>
    </r>
    <r>
      <rPr>
        <b/>
        <i/>
        <sz val="16"/>
        <rFont val="Arial"/>
        <family val="2"/>
      </rPr>
      <t>Sección que se diligencia automáticamente con el diligenciamiento de la hoja PVCGF-04-XX Materialidad para Estados Financieros, no digitar ningún dato</t>
    </r>
    <r>
      <rPr>
        <b/>
        <sz val="16"/>
        <rFont val="Arial"/>
        <family val="2"/>
      </rPr>
      <t>):</t>
    </r>
  </si>
  <si>
    <t>Monto Activo Total</t>
  </si>
  <si>
    <t>Corresponde a los resultados obtenidos en el papel de trabajo PVCGF-04-XX Materialidad para Estados Financieros, indicando la suma de su puntaje, el rango establecido, la base seleccionada, el monto total de la base, el porcentaje y el valor de la materialidad.</t>
  </si>
  <si>
    <r>
      <t>6. DETERMINACIÓN DE LOS TIPOS DE OPINIÓN (</t>
    </r>
    <r>
      <rPr>
        <b/>
        <i/>
        <sz val="16"/>
        <color rgb="FF000000"/>
        <rFont val="Arial"/>
        <family val="2"/>
      </rPr>
      <t>Sección Informativa no requiere ningún diligenciamiento</t>
    </r>
    <r>
      <rPr>
        <b/>
        <sz val="16"/>
        <color indexed="8"/>
        <rFont val="Arial"/>
        <family val="2"/>
      </rPr>
      <t>):</t>
    </r>
  </si>
  <si>
    <r>
      <t>7. NIVEL DE MATERIALIDAD DE LAS IMPOSIBILIDADES Y LAS INCORRECCIONES (</t>
    </r>
    <r>
      <rPr>
        <b/>
        <i/>
        <sz val="14"/>
        <color rgb="FF000000"/>
        <rFont val="Arial"/>
        <family val="2"/>
      </rPr>
      <t>Sección que se genera automáticamente,  no requiere digitar ningún dato</t>
    </r>
    <r>
      <rPr>
        <b/>
        <sz val="14"/>
        <color indexed="8"/>
        <rFont val="Arial"/>
        <family val="2"/>
      </rPr>
      <t>):</t>
    </r>
  </si>
  <si>
    <r>
      <t xml:space="preserve">IMPOSIBILIDADES: </t>
    </r>
    <r>
      <rPr>
        <sz val="12"/>
        <color indexed="8"/>
        <rFont val="Arial"/>
        <family val="2"/>
      </rPr>
      <t>Rubro o cuenta de los Estados Financieros sobre la cual el auditor no tiene seguridad razonable de que esté libre de errores, debido a la no obtención de evidencia suficiente y adecuada, por lo tanto, no puede establecer un valor cuantitativo de la misma. Esta situación puede generar una opinión Con Salvedades o, Denegación o Abstención de opinión.</t>
    </r>
  </si>
  <si>
    <t>IMPOSIBILIDADES + INCORRECCIONES</t>
  </si>
  <si>
    <r>
      <t xml:space="preserve">IMPOSIBILIDADES O INCORRECCIÓN NO MATERIAL: </t>
    </r>
    <r>
      <rPr>
        <sz val="12"/>
        <rFont val="Arial"/>
        <family val="2"/>
      </rPr>
      <t>Cuando cada una de estas o sumadas son menores a la materialidad cuantitativa del total de activos o del pasivo + patrimonio, se generará una opinión limpia o sin salvedades.</t>
    </r>
  </si>
  <si>
    <t>NO MATERIAL</t>
  </si>
  <si>
    <r>
      <rPr>
        <b/>
        <sz val="12"/>
        <rFont val="Arial"/>
        <family val="2"/>
      </rPr>
      <t xml:space="preserve">IMPOSIBILIDAD O INCORRECCIÓN MATERIAL: </t>
    </r>
    <r>
      <rPr>
        <sz val="12"/>
        <rFont val="Arial"/>
        <family val="2"/>
      </rPr>
      <t>Cuando cada una de estas o sumadas son más de 1 y menos de 5 veces la materialidad cuantitativa del total de activos o del pasivo + patrimonio, generará una opinión con salvedades.</t>
    </r>
  </si>
  <si>
    <t>MATERIAL</t>
  </si>
  <si>
    <r>
      <t xml:space="preserve">IMPOSIBILIDAD O INCORRECCIÓN MATERIAL GENERALIZADA: </t>
    </r>
    <r>
      <rPr>
        <sz val="12"/>
        <rFont val="Arial"/>
        <family val="2"/>
      </rPr>
      <t>Cuando cada una de estas o sumadas son más de 5 veces la materialidad cuantitativa del total de activos o del pasivo + patrimonio, generará una opinión adversa o una Denegación o Abstención de Opinión, según el índice predominante.</t>
    </r>
  </si>
  <si>
    <t>MATERIAL GENERALIZADA</t>
  </si>
  <si>
    <t>TOTAL IMPOSIBILIDADES ES MAYOR A TOTAL INCORRECCIONES</t>
  </si>
  <si>
    <r>
      <t>Séptima Sección: “</t>
    </r>
    <r>
      <rPr>
        <i/>
        <sz val="12"/>
        <rFont val="Arial"/>
        <family val="2"/>
      </rPr>
      <t>NIVEL DE MATERIALIDAD DE LAS IMPOSIBILIDADES Y LAS INCORRECCIONES</t>
    </r>
    <r>
      <rPr>
        <sz val="12"/>
        <rFont val="Arial"/>
        <family val="2"/>
      </rPr>
      <t>”. (Esta información se genera automáticamente, no se requiere digitar ningún dato):
En esta sección no hay que incorporar información, esta se obtiene automáticamente a partir del diligenciamiento de las secciones anteriores. Con base en los índices predominantes, nos arroja el nivel o categoría en que se encuentran las incorrecciones, las imposibilidades y las imposibilidades + las incorrecciones. Así mismo, para el caso en el cual las imposibilidades y las incorrecciones sean categorizadas como materiales y generalizadas, nos compara cuál de ellas es la predominante para establecer si estamos frente a una opinión adversa o negativa o una Denegación o abstención de opinión.</t>
    </r>
  </si>
  <si>
    <r>
      <t>8. OPINIÓN OBTENIDA Y CALIFICACIÓN DEL PRINCIPIO EVALUADO -  (</t>
    </r>
    <r>
      <rPr>
        <b/>
        <i/>
        <sz val="16"/>
        <color theme="1"/>
        <rFont val="Arial"/>
        <family val="2"/>
      </rPr>
      <t>Esta información se genera automáticamente con el diligenciamiento de la segunda sección, no se requiere digitar ningún dato</t>
    </r>
    <r>
      <rPr>
        <b/>
        <sz val="16"/>
        <color theme="1"/>
        <rFont val="Arial"/>
        <family val="2"/>
      </rPr>
      <t>)</t>
    </r>
  </si>
  <si>
    <t>TIPO DE OPINIÓN</t>
  </si>
  <si>
    <t>En esta sección no hay que incorporar información, ésta se obtiene automáticamente, a partir del diligenciamiento de las secciones anteriores. Con base en los índices predominantes arroja el tipo de opinión obtenida, el porcentaje (%) y calificación del principio de eficacia que mide este proceso.</t>
  </si>
  <si>
    <t>ABSTENCION</t>
  </si>
  <si>
    <t>Administrativo - Disciplinaria</t>
  </si>
  <si>
    <t>Administrativo - Disciplinaria y Penal</t>
  </si>
  <si>
    <t>Administrativo - Disciplinaria, Penal y Fiscal</t>
  </si>
  <si>
    <t>Información Incompleta e Inoportuna</t>
  </si>
  <si>
    <t>Administrativo - Disciplinaria y Fiscal</t>
  </si>
  <si>
    <t>Tipo de Auditoría:</t>
  </si>
  <si>
    <t>Fecha evaluación:</t>
  </si>
  <si>
    <r>
      <t xml:space="preserve">1. CONSOLIDADO DE LA CALIFICACIÓN </t>
    </r>
    <r>
      <rPr>
        <b/>
        <i/>
        <sz val="14"/>
        <rFont val="Arial"/>
        <family val="2"/>
      </rPr>
      <t>(Sección Informativa que no requiere diligenciamiento)</t>
    </r>
  </si>
  <si>
    <t>SUBPROCESO</t>
  </si>
  <si>
    <t>PONDERACION INICIAL</t>
  </si>
  <si>
    <t>PONDERACION CON DATOS eficacia</t>
  </si>
  <si>
    <t>PONDERACION CON DATOS EFICIENCIA</t>
  </si>
  <si>
    <t>PONDERACION REDISTRIBUIDA EFICACIA</t>
  </si>
  <si>
    <t>PONDERACION REDISTRIBUIDA EFICIENCIA</t>
  </si>
  <si>
    <t>CALIFICACION POR SUBPROCESO (promedio)</t>
  </si>
  <si>
    <t>CALIFICACION PROCESO
(promedio ponderado)</t>
  </si>
  <si>
    <t>EFICACIA PONDERADA</t>
  </si>
  <si>
    <t>EFICIENCIA PONDERADA</t>
  </si>
  <si>
    <t>Indicadores Financieros a partir de Estados Financieros</t>
  </si>
  <si>
    <t>Deuda Pública Interna y Externa y Servicio de la Deuda Pública</t>
  </si>
  <si>
    <t>Inversiones en Títulos Valores</t>
  </si>
  <si>
    <t>Inversiones Accionarias o Patrimoniales</t>
  </si>
  <si>
    <t>CALIFICACION DEL PROCESO</t>
  </si>
  <si>
    <t>&gt;=75% - &lt;=100</t>
  </si>
  <si>
    <t>&lt;75%</t>
  </si>
  <si>
    <t>En esta sección el auditor no deberá diligenciar ningún campo, toda vez que, ésta, se alimenta con el resultado del diligenciamiento de la segunda sección, se calcula automáticamente
La tabla de calificación y el concepto de efectividad del desempeño financiero, consolida la evaluación realizada por cada uno de los aspectos e indicadores de conformidad con los principios de eficacia y eficiencia, es pertinente verificar el contenido de la Guía para evaluar el desempeño Financiero PVCGF-04-05.
Mediante la evaluación de la gestión financiera se busca medir el principio de EFICACIA y EFICIENCIA, y la combinación de estos dos principios se expresa en términos de efectividad de acuerdo a los siguientes rangos:</t>
  </si>
  <si>
    <t>2. APLICACIÓN ANALISIS Y RESULTADOS DE LOS INDICADORES</t>
  </si>
  <si>
    <t>RESULTADOS DE LA EVALUACIÓN DEL DESEMPEÑO FINANCIERO</t>
  </si>
  <si>
    <t xml:space="preserve">INDICADORES FINANCIEROS </t>
  </si>
  <si>
    <t>TIPO DE INDICADOR</t>
  </si>
  <si>
    <t xml:space="preserve">INTERPRETACIÓN DE RESULTADO POR TIPO DE INDICADOR </t>
  </si>
  <si>
    <t>RESULTADO DE LA GESTION FISCAL</t>
  </si>
  <si>
    <t>FORMULA</t>
  </si>
  <si>
    <t>RESULTADOS DE LA APLICACIÓN DE LA FORMULA</t>
  </si>
  <si>
    <t>UNIDAD DE MEDIDA DEL RESULTADO</t>
  </si>
  <si>
    <t>INTERPRETACIÓN DEL INDICADOR</t>
  </si>
  <si>
    <t xml:space="preserve">Aplicación de los indicadores financieros a partir de Estados Financieros </t>
  </si>
  <si>
    <t>SECTOR DESCENTRALIZADO, SOCIEDADES DE ECONOMÍA MIXTA Y SECRETARÍA DE HACIENDA</t>
  </si>
  <si>
    <t xml:space="preserve"> Razón corriente</t>
  </si>
  <si>
    <t>Activo corriente / Pasivo corriente x 100</t>
  </si>
  <si>
    <t>Porcentaje</t>
  </si>
  <si>
    <t>Expresa la relación entre activos corrientes y pasivos corrientes, e indica cuantos pesos pose la empresa en los activos corriente por cada peso de los pasivos corrientes.</t>
  </si>
  <si>
    <t xml:space="preserve"> LIQUIDEZ</t>
  </si>
  <si>
    <t xml:space="preserve">Cuenta con disponibilidad de efectivo para atender sus obligaciones más inmediatas, a medida que éstas se vencen. </t>
  </si>
  <si>
    <t xml:space="preserve"> Proporciona el nivel de sostenibilidad y de crecimiento empresarial, así mismo, las debilidades en su estructura financiera y gestión operativa. </t>
  </si>
  <si>
    <t xml:space="preserve"> Capital de Trabajo </t>
  </si>
  <si>
    <t>Activo corriente - Pasivo corriente</t>
  </si>
  <si>
    <t>Valor absoluto</t>
  </si>
  <si>
    <t>Permite determinar con cuántos recursos cuenta la empresa para operar si se pagan los pasivos a corto plazo.</t>
  </si>
  <si>
    <t xml:space="preserve">Mantiene un capital de trabajo adecuado en relación con el ciclo operativo y el comportamiento del flujo de caja.   </t>
  </si>
  <si>
    <t xml:space="preserve">Comportamiento del flujo de efectivo </t>
  </si>
  <si>
    <t>(Disponibilidad Inicial (+) Recaudos del Periodo (-) Giros o pagos del Periodo = Superávit (liquidez) o déficit de tesorería (iliquidez)).</t>
  </si>
  <si>
    <t>Valores absolutos</t>
  </si>
  <si>
    <t>Permite obtener claridad sobre las partidas de recaudos y pagos que generan y demandan efectivo a la compañía. La función principal del flujo de efectivo es mostrar el superávit (liquidez) o el déficit de tesorería (iliquidez).</t>
  </si>
  <si>
    <t xml:space="preserve">Nivel de Endeudamiento. </t>
  </si>
  <si>
    <t>(Pasivo total / Activo total) x 100</t>
  </si>
  <si>
    <t>Mide la proporción de los activos totales que financian los acreedores de la empresa. Entre mayor es el índice, mayor es el monto del dinero de terceros usado para generar utilidades.</t>
  </si>
  <si>
    <t>ENDEUDAMIENTO</t>
  </si>
  <si>
    <t>Cuenta con la capacidad para responder por el endeudamiento, de tal forma que no comprometa los activos para cumplir con el pago de sus obligaciones.</t>
  </si>
  <si>
    <t>Concentración Endeudamiento a Corto Plazo</t>
  </si>
  <si>
    <t>(Pasivo corriente / Pasivo total) x 100</t>
  </si>
  <si>
    <t>Permite analizar qué porcentaje de la deuda está a corto plazo, es decir, en relación al total de las obligaciones de la empresa, qué tanto debe cancelar en el plazo máximo de un año.</t>
  </si>
  <si>
    <t>El nivel de endeudamiento a corto plazo es apropiado y le permite cumplir con aquellas obligaciones y compromisos menores a un año.</t>
  </si>
  <si>
    <t>Endeudamiento financiero</t>
  </si>
  <si>
    <t>Pasivo total / Patrimonio neto x 100</t>
  </si>
  <si>
    <t>Grado de cobertura que puede tener el patrimonio respecto a las obligaciones contraídas con terceros</t>
  </si>
  <si>
    <t>Los propietarios de la empresa respaldan el nivel de endeudamiento asumido, frente a la capacidad para cumplir con sus obligaciones contraídas con terceros para financiar los activos.</t>
  </si>
  <si>
    <t>Cubrimiento de intereses</t>
  </si>
  <si>
    <t xml:space="preserve">(EBITDA / Gasto de Intereses) x 100 </t>
  </si>
  <si>
    <t>Número de veces que la utilidad operacional supera a los intereses registrados en los gastos.</t>
  </si>
  <si>
    <t>Cuenta con el apalancamiento óptimo para cumplir con el nivel de endeudamiento a coto y largo plazo y su financiación</t>
  </si>
  <si>
    <t>Índice de Solvencia</t>
  </si>
  <si>
    <t>(Activo Total/ Pasivo total) x 100</t>
  </si>
  <si>
    <t xml:space="preserve">Mide la cantidad de pesos con los que, entre bienes y derechos se cuenta para respaldar cada peso que posee de deuda. </t>
  </si>
  <si>
    <t>EBITDA</t>
  </si>
  <si>
    <t>Utilidad antes de intereses e impuestos (Utilidad Operativa) + Depreciaciones + Amortizaciones + Provisiones</t>
  </si>
  <si>
    <t>Permite obtener una idea clara del rendimiento operativo de la empresa, al descontar de la utilidad operativa aquellos gastos contables que no implican salida de dinero en efectivo.</t>
  </si>
  <si>
    <t>RENDIMIENTO</t>
  </si>
  <si>
    <t xml:space="preserve">Tiene la capacidad para generar utilidades a partir del desempeño y resultados de sus actividades  productivas, derivadas de las decisiones estratégicas, para maximizar el valor del capital y el de sus accionistas.   </t>
  </si>
  <si>
    <t>Margen de Utilidad Neta</t>
  </si>
  <si>
    <t>(Utilidad neta / ventas netas) x 100</t>
  </si>
  <si>
    <t xml:space="preserve">Muestra la utilidad por cada unidad de venta. </t>
  </si>
  <si>
    <t xml:space="preserve"> Margen Operacional. </t>
  </si>
  <si>
    <t>(Utilidad Operacional / Ventas) x 100</t>
  </si>
  <si>
    <t>Mide el beneficio que obtiene la empresa por cada peso de ventas, luego de pagar costos y gastos como mano de obra e insumos directos, justo antes de intereses e impuestos.</t>
  </si>
  <si>
    <t>Dividendos efectivamente pagados</t>
  </si>
  <si>
    <t>(Dividendos decretados / Dividendos pagados) x 100</t>
  </si>
  <si>
    <t>Determina los dividendos efectivamente pagados a los accionistas de la empresa.</t>
  </si>
  <si>
    <t>Produce el retorno de la inversión a los socios o  accionistas en términos de rentabilidad y dividendos decretados y efectivamente  pagados.</t>
  </si>
  <si>
    <t xml:space="preserve"> Beneficio por Acción (BPA)</t>
  </si>
  <si>
    <t>Utilidad neta / Número de acciones</t>
  </si>
  <si>
    <t>Beneficio o pérdida sobre cada acción (ordinaria o preferente) en función de las acciones ordinarias o preferentes que se encuentren en circulación.</t>
  </si>
  <si>
    <t>Rentabilidad por Dividendo</t>
  </si>
  <si>
    <t>(Dividendo pagado por acción / Precio de la acción) x 100</t>
  </si>
  <si>
    <t>Beneficios que obtiene una empresa sobre sus operaciones, en un periodo determinado, que se pagan a los accionistas según la cantidad de acciones que posean.</t>
  </si>
  <si>
    <t>Comportamiento  valor de la acción</t>
  </si>
  <si>
    <t>(valor acción año actual - valor acción año anterior / valor acción año anterior) x100</t>
  </si>
  <si>
    <t xml:space="preserve">Determina el comportamiento del valor de la acción en el mercado bursátil en el periodo evaluado, en relación con el año  anterior. </t>
  </si>
  <si>
    <t xml:space="preserve">El valor de las acciones cotizadas en el mercado bursátil genera estabilidad para la empresa y sus accionistas, aportando valor agregado. </t>
  </si>
  <si>
    <t>Eficiencia en el recaudo</t>
  </si>
  <si>
    <t>(Recaudos en la vigencia actual de los saldos por cobrar de vigencias anteriores/ Saldo por cobrar en la vigencia anterior) x 100</t>
  </si>
  <si>
    <t>Porcentaje del recaudo de la vigencia actual de los recursos por cobrar de vigencias anteriores</t>
  </si>
  <si>
    <t>ACTIVIDAD</t>
  </si>
  <si>
    <t xml:space="preserve">El proceso de recaudo de cartera en la vigencia evaluada se llevó a cabo de manera eficiente, en relación con los recursos ingresados por cuentas por cobrar de vigencias anteriores, incluido el análisis de costo beneficio en el proceso de recuperación de la cartera. </t>
  </si>
  <si>
    <t>Variación marginal del Ingreso</t>
  </si>
  <si>
    <t>(Ingresos propios de la vigencia analizada / Ingresos propios de la vigencia anterior) x 100.</t>
  </si>
  <si>
    <t>Variación porcentual de la generación de Ingresos propios de una vigencia en relación a otra.</t>
  </si>
  <si>
    <t>Relación Beneficio Costo de Cartera</t>
  </si>
  <si>
    <t>(Sumatoria de costos y gastos asumidos para el recaudo de cartera en la vigencia evaluada / Recaudo total de cartera de la vigencia evaluada) x 100</t>
  </si>
  <si>
    <t>Resultados financieros de la gestión del cobro de Cartera de la vigencia</t>
  </si>
  <si>
    <t xml:space="preserve">El proceso de generación de los ingresos propios comparativamente mostraron crecimiento con respecto a periodo(s) anterior(res) 
</t>
  </si>
  <si>
    <t>OTRAS ACTIVIDADES A EVALUAR</t>
  </si>
  <si>
    <t>MODELO DE DIAGNÓSTICO FINANCIERO</t>
  </si>
  <si>
    <t>MARGEN EBITDA</t>
  </si>
  <si>
    <t>(EBITDA / Ingresos operacionales) x 100</t>
  </si>
  <si>
    <t>Proporciona la capacidad de la empresa para generar efectivo por cada peso de ventas. Se utilizada para evaluar la rentabilidad de una empresa comparando sus ingresos con sus ganancias</t>
  </si>
  <si>
    <t>Eficiencia operativa enfocada a incrementar los ingresos y/o reducir los costos y gastos, derivado de las decisiones y estrategias implementadas por el sujeto de vigilancia y control fiscal para  generar flujo de caja suficiente para atender los compromisos de la operación; teniendo como referente el comportamiento de la(s) vigencia(s) anterior(es).</t>
  </si>
  <si>
    <t>Capital de Trabajo Neto Operativo KTNO</t>
  </si>
  <si>
    <t>(Inventarios + cuentas por cobrar (Clientes) – cuentas por pagar (Proveedores))</t>
  </si>
  <si>
    <t>Relaciona el comportamiento de los saldos de inventarios y cuentas por cobrar, con los registros de cuentas por pagar (Proveedores), para determinar la porción del flujo de caja que la empresa se apropia, con el fin de reponer el capital de trabajo.</t>
  </si>
  <si>
    <t>Eficiencia en la administración del capital de trabajo optimizando la generación del flujo de caja,  como resultado de la gestión del proceso productivo y niveles de ventas obtenidos en el periodo evaluado, en comparación con  la(s) vigencias(s) anterior(es), que le permita cumplir adecuadamente con sus compromisos adquiridos en su operación.</t>
  </si>
  <si>
    <t>Productividad del Capital de Trabajo-PKT</t>
  </si>
  <si>
    <t>(KTNO / Ingresos Operacionales)</t>
  </si>
  <si>
    <t>Representa los centavos de capital de trabajo que, por cada peso de ingresos operacionales debe retener la empresa para operar</t>
  </si>
  <si>
    <t>Palanca de Crecimiento – PDC</t>
  </si>
  <si>
    <t>Margen EBITDA/PKT</t>
  </si>
  <si>
    <t>Pretende establecer si es o no conveniente que la empresa crezca. Mientras mayor sea el resultado, más atractivo es el crecimiento para la compañía.</t>
  </si>
  <si>
    <t>Estructura de Caja</t>
  </si>
  <si>
    <t>EBITDA (-) Impuestos= Flujo de Caja Bruto (-) Variación KTNO (-) Intereses (-) Dividendos = Disponible para inversión y abono a capital</t>
  </si>
  <si>
    <t>Permite determinar el efecto que, sobre la caja disponible para inversión y abono a capital de la deuda, se produce como consecuencia de la Estructura Operativa y la Estructura Financiera que la empresa mantiene para operar.</t>
  </si>
  <si>
    <t xml:space="preserve">Múltiplo de Deuda </t>
  </si>
  <si>
    <t xml:space="preserve">(Deuda Financiera Total / EBITDA) </t>
  </si>
  <si>
    <t>Permite establecer el riesgo financiero que asume la empresa al obtener un importante monto de deuda frente a la capacidad que tiene para cumplir el pago del capital (saldo total de la deuda) con su flujo de caja.</t>
  </si>
  <si>
    <t xml:space="preserve">Riesgo financiero en relación con la(s) deuda(s) asumida(s), en proporción con las utilidades obtenidas (EBITDA) y la cantidad de recursos que se destinan al pago de intereses y amortización de capital, con el fujo de caja generado en la actividad operativa.  </t>
  </si>
  <si>
    <t>Incidencia de Intereses</t>
  </si>
  <si>
    <t>(Intereses / Flujo de Caja Bruto) x 100</t>
  </si>
  <si>
    <t>Proporción del Flujo de Caja Bruto de la entidad destinada al pago de intereses.</t>
  </si>
  <si>
    <t>Rentabilidad del Activo (ROA)</t>
  </si>
  <si>
    <t>(Utilidad neta / Activo total) x 100</t>
  </si>
  <si>
    <t>Expresa la rentabilidad económica de la empresa, independientemente de la forma en que se financie el activo (con recursos propios o recursos de terceros).</t>
  </si>
  <si>
    <t xml:space="preserve">Capacidad del sujeto de vigilancia y control fiscal para generar utilidades con el uso de los recursos invertidos y la eficiencia y efectividad en la administración y utilización de los activos productivos de la empresa. </t>
  </si>
  <si>
    <t>ASPECTOS DE CALIFICACIÓN APLICABLES</t>
  </si>
  <si>
    <t>Deuda Pública Interna y Externa</t>
  </si>
  <si>
    <t>La empresa evalúa su capacidad de endeudamiento antes de contraer las obligaciones de deuda y dicha capacidad fue calculada con variables reales.</t>
  </si>
  <si>
    <t>MANEJO DE DEUDA PÚBLICA (INTERNA Y EXTERNA)</t>
  </si>
  <si>
    <t>Capacidad de endeudamiento</t>
  </si>
  <si>
    <t>La capacidad de endeudamiento utilizado cumple con las políticas y directrices definidas por la alta dirección y/o Comité creado para su control y manejo, sin exceder los límites de endeudamiento definidos de acuerdo con la capacidad de pago.</t>
  </si>
  <si>
    <t xml:space="preserve">De acuerdo con el resultado que proporcionan las firmas calificadoras de riesgos crediticios, la compañía presenta capacidad suficiente para el nivel de endeudamiento efectuado en el periodo evaluado.   </t>
  </si>
  <si>
    <t>La entidad contaba con la capacidad de pago suficiente al momento de celebrar la nueva operación de crédito público, conforme a lo establecido por las normas vigentes.</t>
  </si>
  <si>
    <t xml:space="preserve">Nivel de endeudamiento público </t>
  </si>
  <si>
    <t>La entidad cumplió con todas las autorizaciones requeridas para efectuar el endeudamiento.</t>
  </si>
  <si>
    <t>La operación de crédito público efectuada fue acompañada de los documentos y soportes establecidos en las normas que regulan el tema.</t>
  </si>
  <si>
    <t xml:space="preserve">Los recursos obtenidos mediante la operación de crédito público se han destinado exclusivamente a la financiación de gastos de inversión. (con las excepciones que se aprueben a través de actas de Junta Directiva y/o Asamblea de Socios entre otras.  ) </t>
  </si>
  <si>
    <t>Servicio de la Deuda Pública</t>
  </si>
  <si>
    <t>La entidad cumple en forma oportuna con el pago de sus acreencias crediticias en la forma y termino pactados en los correspondiente contratos de endeudamiento.</t>
  </si>
  <si>
    <t xml:space="preserve"> Oportunidad en el pago de capital e intereses</t>
  </si>
  <si>
    <t>Los intereses y demás erogaciones relacionadas con costos financieros de la deuda, se liquidan y pagan conforme las tasas  pactadas.</t>
  </si>
  <si>
    <t>La entidad ha llevado a cabo renegociación de la deuda negociada en moneda extranjera, para mejorar las condiciones del crédito y hacer menos costoso el pago de intereses.</t>
  </si>
  <si>
    <t>La compañía a través del área competente, hace los análisis necesarios para establecer los excedentes de liquidez para llevar a cabo inversiones en títulos valores, para no afectar la disponibilidad de los recursos.</t>
  </si>
  <si>
    <t>MANEJO DE EXCEDENTES DE TESORERÍA</t>
  </si>
  <si>
    <t xml:space="preserve">Gestión de las inversiones en títulos valores </t>
  </si>
  <si>
    <t>Las operaciones de mercado secundario de valores fueron  efectuadas teniendo en cuenta los precios del mercado vigentes en la fecha en que se realizó la inversión financiera.</t>
  </si>
  <si>
    <t>La empresa realiza sus inversiones financieras solo en mercado de renta fija.</t>
  </si>
  <si>
    <t>Los rendimientos financieros procedentes del portafolio de inversiones son cobrados por la empresa dentro de los términos y condiciones pactados en la operación, se encuentran correctamente liquidados y se evidencia el respectivo registro contable.</t>
  </si>
  <si>
    <t>La empresa realiza en forma permanente el análisis de riesgos asociados a las operaciones financieras.</t>
  </si>
  <si>
    <t>Las inversiones financieras en títulos valores se efectúan en empresas vigiladas por la superintendencia financiera y calificadas con los máximos valores por las compañías calificadoras de riesgos.</t>
  </si>
  <si>
    <t>Desempeño financiero de la asignación de los recursos financieros producto de excedentes de tesorería o recursos disponibles que pueden ser invertidos en las diferentes modalidades de inversión financiera que realice la tesorería o la dependencia que haga sus veces (mesas de dinero) para obtener la mayor rentabilidad posible dentro de los menores rangos de riesgo existentes y maximizar los beneficios financieros.*</t>
  </si>
  <si>
    <t>Desempeño financiero de las inversiones constituidas en el país y en el exterior, donde el Distrito Capital tiene participación accionaria o patrimonial,   en términos del retorno de la inversión.</t>
  </si>
  <si>
    <t>DESEMPEÑO FINANCIERO DE LAS INVERSIONES ACCIONARIAS Y PATRIMONIALES</t>
  </si>
  <si>
    <t xml:space="preserve">Control y seguimiento de las inversiones accionarias y patrimoniales, en términos de eficiencia, que garanticen el retorno de la inversión.  </t>
  </si>
  <si>
    <t xml:space="preserve">La empresa realiza un control y seguimiento periódico y oportuno de la gestión y los resultados de las inversiones accionarias y patrimoniales, que garanticen el retorno de su inversión. </t>
  </si>
  <si>
    <t>Dividendos decretados y recibidos, frente a las capitalizaciones realizadas por la casa matriz, que proporcione un costo/beneficio.</t>
  </si>
  <si>
    <t>Balance Financiero de los préstamos otorgados y recibidos por la casa matriz (proporción de prestamos realizados Inter compañías).</t>
  </si>
  <si>
    <t xml:space="preserve">La empresa lleva a cabo los estudios y análisis económicos, financieros, de regulación, de mercado y técnicos, suficientes, antes de realizar las inversiones accionarias, para determinar de manera objetiva e idónea la situación financiera de la compañía en donde va a invertir. </t>
  </si>
  <si>
    <t xml:space="preserve">Se identifican previamente los riesgos que debe asumirse al realizar esta clase de inversiones  (económicos, financieros, de regulación, de mercado, técnicos y de toda índole).    </t>
  </si>
  <si>
    <t>* En las entidades que aplique</t>
  </si>
  <si>
    <t>En el caso de que se hayan dictaminado con opinión negativa o con abstención de opinión, NO habrá lugar a la evaluación de los indicadores financieros, deuda pública, inversiones en títulos valores e inversiones accionarias o patrimoniales. En este caso, los aspectos aplicables, se calificarán con cero (0)%.</t>
  </si>
  <si>
    <r>
      <t xml:space="preserve">El concepto sobre el desempeño financiero se fundamenta en el resultado de la aplicación e interpretación de los indicadores financieros, en términos de eficiencia y eficacia, para determinar </t>
    </r>
    <r>
      <rPr>
        <sz val="11"/>
        <color theme="1"/>
        <rFont val="Arial"/>
        <family val="2"/>
      </rPr>
      <t>el nivel de sostenibilidad y de crecimiento emp</t>
    </r>
    <r>
      <rPr>
        <sz val="11"/>
        <color rgb="FF000000"/>
        <rFont val="Arial"/>
        <family val="2"/>
      </rPr>
      <t>resa</t>
    </r>
    <r>
      <rPr>
        <sz val="11"/>
        <color theme="1"/>
        <rFont val="Arial"/>
        <family val="2"/>
      </rPr>
      <t>rial, orientado a maximizar el valor de la empresa y de sus accionistas</t>
    </r>
    <r>
      <rPr>
        <sz val="11"/>
        <color rgb="FF000000"/>
        <rFont val="Arial"/>
        <family val="2"/>
      </rPr>
      <t>; así mismo, establece</t>
    </r>
    <r>
      <rPr>
        <sz val="11"/>
        <color theme="1"/>
        <rFont val="Arial"/>
        <family val="2"/>
      </rPr>
      <t xml:space="preserve"> las debilidades en su situación financiera y operativa. Considera igualmente la eficacia en el </t>
    </r>
    <r>
      <rPr>
        <sz val="11"/>
        <color rgb="FF000000"/>
        <rFont val="Arial"/>
        <family val="2"/>
      </rPr>
      <t>manejo de la deuda pública, la administración de los excedentes financieros y el desempeño financiero y económico donde tiene participación accionaria y patrimonial.
Este instrumento a pesar de tener un alto contenido de información, exige una baja carga de registros, toda vez, que todos los campos están parametrizados, tal como se presenta a continuación:</t>
    </r>
  </si>
  <si>
    <t>Resultados de la evaluación del desempeño financiero</t>
  </si>
  <si>
    <t>En esta sección, el auditor según aplique, sólo deberá diligenciar las celdas pertinentes de las columnas F y M, relacionadas con los aspectos de los subprocesos:</t>
  </si>
  <si>
    <r>
      <t>·</t>
    </r>
    <r>
      <rPr>
        <sz val="7"/>
        <color theme="1"/>
        <rFont val="Times New Roman"/>
        <family val="1"/>
      </rPr>
      <t xml:space="preserve">         </t>
    </r>
    <r>
      <rPr>
        <sz val="11"/>
        <color theme="1"/>
        <rFont val="Arial"/>
        <family val="2"/>
      </rPr>
      <t>Indicadores financieros a partir de estados financieros</t>
    </r>
  </si>
  <si>
    <r>
      <t>·</t>
    </r>
    <r>
      <rPr>
        <sz val="7"/>
        <color theme="1"/>
        <rFont val="Times New Roman"/>
        <family val="1"/>
      </rPr>
      <t xml:space="preserve">         </t>
    </r>
    <r>
      <rPr>
        <sz val="11"/>
        <color theme="1"/>
        <rFont val="Arial"/>
        <family val="2"/>
      </rPr>
      <t>Deuda pública interna y externa y servicio de la deuda pública</t>
    </r>
  </si>
  <si>
    <r>
      <t>·</t>
    </r>
    <r>
      <rPr>
        <sz val="7"/>
        <color theme="1"/>
        <rFont val="Times New Roman"/>
        <family val="1"/>
      </rPr>
      <t xml:space="preserve">         </t>
    </r>
    <r>
      <rPr>
        <sz val="11"/>
        <color theme="1"/>
        <rFont val="Arial"/>
        <family val="2"/>
      </rPr>
      <t>Inversiones en títulos valores</t>
    </r>
  </si>
  <si>
    <r>
      <t>·</t>
    </r>
    <r>
      <rPr>
        <sz val="7"/>
        <color theme="1"/>
        <rFont val="Times New Roman"/>
        <family val="1"/>
      </rPr>
      <t xml:space="preserve">         </t>
    </r>
    <r>
      <rPr>
        <sz val="11"/>
        <color theme="1"/>
        <rFont val="Arial"/>
        <family val="2"/>
      </rPr>
      <t>Inversiones accionarias o patrimoniales</t>
    </r>
  </si>
  <si>
    <t>Los indicadores y análisis que no apliquen se dejaran con celda vacía, es decir no hay que registrar ningún dato.</t>
  </si>
  <si>
    <t>El auditor debe seleccionar aquellos indicadores y aspectos que de acuerdo con su experticia, sean pertinentes para efectuar la evaluación, según la naturaleza, características y misionalidad del sujeto de vigilancia y control fiscal. En consecuencia, el número y tipo de indicadores a utilizar son potestad del auditor, quien puede considerar elementos adicionales para la evaluación.</t>
  </si>
  <si>
    <t>Sujeto de Vigilancia y Control Fiscal:</t>
  </si>
  <si>
    <t>Fecha de revisión Líder:</t>
  </si>
  <si>
    <t>DATOS GENERALES:  EL auditor deberá diligenciar los datos generales del sujeto de control, PAD y de la auditoria Financiera y de Gestión a desarrollar, que se solicitan.</t>
  </si>
  <si>
    <t>INDICADORES</t>
  </si>
  <si>
    <t>Grado de ejecución del Ingreso</t>
  </si>
  <si>
    <t>(Valor del recaudo del periodo/Total recaudo programado en el mismo periodo) x100</t>
  </si>
  <si>
    <t>Indica el grado de recaudos de la vigencia.</t>
  </si>
  <si>
    <t>INDICADORES PRESUPUESTALES</t>
  </si>
  <si>
    <t xml:space="preserve">Gestión presupuestal de ingresos en relación con el nivel de recaudo (operacionales y no operacionales) en la vigencia evaluada, teniendo en cuenta el análisis comparativo con año(s) anteriores.  </t>
  </si>
  <si>
    <t>Nivel de desempeño presupuestal del ordenador del gasto en términos de eficacia.</t>
  </si>
  <si>
    <t>Grado de Ejecución del Gasto</t>
  </si>
  <si>
    <t>(Valor acumulado del gasto o compromisos suscritos/presupuesto definitivo en el periodo) x100</t>
  </si>
  <si>
    <t>Indica el porcentaje del presupuesto gastado o comprometido</t>
  </si>
  <si>
    <t xml:space="preserve">Gestión presupuestal de gastos (costos) que se relaciona con: Valor acumulado del gasto  o compromisos suscritos,. Teniendo en cuenta el análisis comparativo con año(s) anterior(es). </t>
  </si>
  <si>
    <t>Grado Ejecución de Giros</t>
  </si>
  <si>
    <t>(Valor total de pagos / valor total del presupuesto comprometido) x100</t>
  </si>
  <si>
    <t>Indica el porcentaje del presupuesto efectivamente pagado por compromisos adquiridos</t>
  </si>
  <si>
    <t xml:space="preserve">Gestión presupuestal de gastos (costos) que se relaciona con: Valor acumulado del presupuesto efectivamente pagado. Teniendo en cuenta el análisis comparativo con año(s) anterior(es). </t>
  </si>
  <si>
    <t xml:space="preserve">Grado ejecución de Reservas presupuestales u obligaciones/cuentas por pagar </t>
  </si>
  <si>
    <t>(valor total de pagos de reservas, obligaciones o cuentas por pagar realizados en el periodo / valor definitivo de reservas en el periodo) x100</t>
  </si>
  <si>
    <t>Indica el porcentaje del presupuesto de reservas u obligaciones efectivamente pagadas en el periodo</t>
  </si>
  <si>
    <t xml:space="preserve">Gestión presupuestal de gastos (costos) que se relaciona con: Valor acumulado de reservas u obligaciones constituidas al cierre de la vigencia (Acuerdo 5 de 1998 Concejo de Bogotá) pagadas durante la misma vigencia fiscal. Teniendo en cuenta el análisis comparativo con año(s) anterior(es). </t>
  </si>
  <si>
    <t xml:space="preserve">Ejecución de Vigencias Futuras </t>
  </si>
  <si>
    <t>(Valor de compromisos de vigencias futuras / Valor definitivo de vigencias futuras)x100</t>
  </si>
  <si>
    <t>Grados de compromisos de las vigencias futuras  en el periodo</t>
  </si>
  <si>
    <t xml:space="preserve">Gestión presupuestal de gastos (costos) que se relaciona con: Valor acumulado de Vigencias Futuras en la vigencia a auditar . Teniendo en cuenta el análisis comparativo con año(s) anterior(es) si las hubo. </t>
  </si>
  <si>
    <t xml:space="preserve">Grado de pagos de Vigencias Futuras </t>
  </si>
  <si>
    <t>(Valor de pagos o giros de vigencias futuras / Valor acumulado de compromisos de vigencias futuras)x100</t>
  </si>
  <si>
    <t>Grado de pagos de las vigencias futuras  en el periodo</t>
  </si>
  <si>
    <t xml:space="preserve">Gestión presupuestal de gastos (costos) que se relaciona con: Pagos efectivamente realizados de Vigencias Futuras en la vigencia a auditar.. Teniendo en cuenta el análisis comparativo con año(s) anterior(es) si las hubo. </t>
  </si>
  <si>
    <t>Reservas Constituidas de Inversión</t>
  </si>
  <si>
    <t>(valor total de las reservas constituidas por Inversión en el periodo / valor Ppto definitivo de Inversión del año anterior) x100</t>
  </si>
  <si>
    <t>Indica el porcentaje de reservas por presupuesto de funcionamiento e Inversión (Acuerdo 5 de 1998 Concejo de Bogotá)</t>
  </si>
  <si>
    <t xml:space="preserve">Gestión presupuestal de gastos (costos) que se relaciona con: Valor de las Reservas constituidas de la vigencia a auditar, teniendo en cuenta los requisitos de constitución y el monto limite establecido para funcionamiento e inversión en el Acuerdo 5 de 1998, Concejo de Bogotá. Teniendo en cuenta el análisis comparativo con año(s) anterior(es). </t>
  </si>
  <si>
    <t>Reservas Constituidas de Funcionamiento</t>
  </si>
  <si>
    <t>(valor total de las reservas constituidas por Funcionamiento en el periodo / valor Ppto definitivo de Funcionamiento del año anterior) x100</t>
  </si>
  <si>
    <t>Grado Pagos Pasivos exigibles</t>
  </si>
  <si>
    <t>(valor total depuración,liberaciones, liquidación y pagos realizados en el periodo Pasivos exigibles / valor total Pasivos exigibles) x100</t>
  </si>
  <si>
    <t>Indica el porcentaje de pagos realizados en la depuración de pasivos exigibles</t>
  </si>
  <si>
    <t xml:space="preserve">Gestión presupuestal de gastos (costos) que se relaciona con: La Gestión presupuestal de depuración de los Pasivos Exigibles en la vigencia a auditar. Teniendo en cuenta el análisis comparativo con año(s) anterior(es). </t>
  </si>
  <si>
    <t>Representación Modificaciones Presupuestales</t>
  </si>
  <si>
    <t>(valor total modificaciones presupuestales/ valor total presupuesto definitivo) x100</t>
  </si>
  <si>
    <t>Indica el porcentaje del presupuesto que fue modificado</t>
  </si>
  <si>
    <t xml:space="preserve">Presupuesto modificado (ingresos, gastos y costos) en la vigencia evaluada, realizado(s) mediante acto administrativo (aprobación en Junta Directiva), con las respectivas justificaciones, en términos del principio de eficacia presupuestal.    </t>
  </si>
  <si>
    <t>Eficacia en el recaudo</t>
  </si>
  <si>
    <t>(Total rentas pendientes de cobro en el periodo / Total rentas recaudadas en el periodo)</t>
  </si>
  <si>
    <t>Refleja el comportamiento del recaudo, es decir, la estricta y exacta gestión para el cobro y la recuperación de los impuestos y la calidad del proceso de cobro.</t>
  </si>
  <si>
    <t>EFICACIA Y CRECIMIENTO DEL RECAUDO</t>
  </si>
  <si>
    <r>
      <rPr>
        <b/>
        <sz val="10"/>
        <color indexed="8"/>
        <rFont val="Arial"/>
        <family val="2"/>
      </rPr>
      <t>Eficacia y crecimiento del recaudo:</t>
    </r>
    <r>
      <rPr>
        <sz val="10"/>
        <color indexed="8"/>
        <rFont val="Arial"/>
        <family val="2"/>
      </rPr>
      <t xml:space="preserve"> Gestión del recaudo producto del crecimiento en las rentas por cobrar, para satisfacer las necesidades de la comunidad, en términos de eficiencia y eficacia.</t>
    </r>
  </si>
  <si>
    <t>Nivel de desempeño presupuestal del ordenador del gasto en términos de eficiencia.</t>
  </si>
  <si>
    <r>
      <rPr>
        <b/>
        <sz val="11"/>
        <color rgb="FF000000"/>
        <rFont val="Arial"/>
        <family val="2"/>
      </rPr>
      <t>INDICADORES A PARTIR DE INFORMES DE EJECUCIÓN PRESUPUESTAL PARA OPINIÓN PRESUPUESTAL</t>
    </r>
    <r>
      <rPr>
        <sz val="11"/>
        <color indexed="8"/>
        <rFont val="Arial"/>
        <family val="2"/>
      </rPr>
      <t xml:space="preserve">
</t>
    </r>
    <r>
      <rPr>
        <b/>
        <sz val="11"/>
        <color rgb="FF000000"/>
        <rFont val="Arial"/>
        <family val="2"/>
      </rPr>
      <t xml:space="preserve">INSTRUCCIONES:
</t>
    </r>
    <r>
      <rPr>
        <sz val="11"/>
        <color rgb="FF000000"/>
        <rFont val="Arial"/>
        <family val="2"/>
      </rPr>
      <t>Para cada indicador según sea aplicable al Sujeto de Control auditado, registre en la columna "</t>
    </r>
    <r>
      <rPr>
        <sz val="11"/>
        <color indexed="8"/>
        <rFont val="Arial"/>
        <family val="2"/>
      </rPr>
      <t>RESULTADOS DE LA APLICACIÓN DE LA FORMULA" el resultado u operación que calcule la formula del indicador no requiere aplicar formato a la celda ya esta configurado como porcentaje, automáticamente la calificación correspondiente se reflejara en la última columna que ya se encuentra formulada de acuerdo con el indicador reportado y su interpretación correspondiente</t>
    </r>
  </si>
  <si>
    <r>
      <rPr>
        <b/>
        <sz val="11"/>
        <color rgb="FF000000"/>
        <rFont val="Arial"/>
        <family val="2"/>
      </rPr>
      <t>Nota1</t>
    </r>
    <r>
      <rPr>
        <sz val="11"/>
        <color indexed="8"/>
        <rFont val="Arial"/>
        <family val="2"/>
      </rPr>
      <t>: Deje en blanco las celdas de los indicadores no aplicables y/o no auditados</t>
    </r>
  </si>
  <si>
    <t>Condición o Situación encontrada
(Texto)</t>
  </si>
  <si>
    <r>
      <t xml:space="preserve">Tipo de Incorrección o Imposibilidad
</t>
    </r>
    <r>
      <rPr>
        <sz val="11"/>
        <color theme="0"/>
        <rFont val="Arial"/>
        <family val="2"/>
      </rPr>
      <t>(lista desplegable)</t>
    </r>
  </si>
  <si>
    <r>
      <t xml:space="preserve">Clasificación presupuestal
</t>
    </r>
    <r>
      <rPr>
        <sz val="10"/>
        <color theme="0"/>
        <rFont val="Arial"/>
        <family val="2"/>
      </rPr>
      <t>(lista desplegable)</t>
    </r>
  </si>
  <si>
    <r>
      <t xml:space="preserve">Rubro o Aspecto Presupuestal
</t>
    </r>
    <r>
      <rPr>
        <sz val="10"/>
        <color theme="0"/>
        <rFont val="Arial"/>
        <family val="2"/>
      </rPr>
      <t>(Código - Nombre)</t>
    </r>
  </si>
  <si>
    <r>
      <t xml:space="preserve">Origen o Causa
</t>
    </r>
    <r>
      <rPr>
        <sz val="10"/>
        <color theme="0"/>
        <rFont val="Arial"/>
        <family val="2"/>
      </rPr>
      <t>(lista desplegable)</t>
    </r>
  </si>
  <si>
    <r>
      <t xml:space="preserve">Principio Presupuestal afectado
</t>
    </r>
    <r>
      <rPr>
        <sz val="10"/>
        <color theme="0"/>
        <rFont val="Arial"/>
        <family val="2"/>
      </rPr>
      <t>(lista desplegable)</t>
    </r>
  </si>
  <si>
    <r>
      <t xml:space="preserve">Valor de la Incorrección o Imposibilidad
</t>
    </r>
    <r>
      <rPr>
        <sz val="10"/>
        <color theme="0"/>
        <rFont val="Arial"/>
        <family val="2"/>
      </rPr>
      <t>( Valores en pesos)</t>
    </r>
  </si>
  <si>
    <t>Porcentaje (% ) de hallazgo o salvedad respecto a la cuenta presupuestal</t>
  </si>
  <si>
    <r>
      <t xml:space="preserve">Resumen de la Observación o Hallazgo
</t>
    </r>
    <r>
      <rPr>
        <sz val="11"/>
        <color theme="0"/>
        <rFont val="Arial"/>
        <family val="2"/>
      </rPr>
      <t>(texto)</t>
    </r>
  </si>
  <si>
    <t>Efecto en caso de incorrección o 
posible efecto en caso de imposibilidad 
(texto)</t>
  </si>
  <si>
    <t>Presunta
 incidencia</t>
  </si>
  <si>
    <t>Numeral del hallazgo(s) en Informe Final</t>
  </si>
  <si>
    <t>Referencia P/T</t>
  </si>
  <si>
    <t>Auditada la información reportada por la SDH en el aplicativo SIVICOF y a través de la comunicación 2022EE017534O1 del 21/01/2022, se compararon las cifras referentes al recaudo de los Ingresos Tributarios correspondientes a la vigencia 2021, encontrando inconsistencias en los valores reportados</t>
  </si>
  <si>
    <t>Imposibilidades en el Informe de Ejecución de Ingresos</t>
  </si>
  <si>
    <t>O12-RECURSOS DE CAPITAL</t>
  </si>
  <si>
    <t>Falta de gestión</t>
  </si>
  <si>
    <t>Anualidad</t>
  </si>
  <si>
    <t>Hallazgo Administrativo por presentar inconsistencias en la información reportada en el SIVICOF respecto del recaudo de los ingresos tributarios</t>
  </si>
  <si>
    <t>3.3.4.1</t>
  </si>
  <si>
    <t>Como se observa en el Cuadro comparativo, entre el presupuesto disponible y el PAA, existen diferencias en las cifras, lo cual denota falta de coordinación entre las áreas que planean y ejecutan. Así mismo, en el manejo de los rubros antes mencionados, existen debilidades en la planeación, programación y ejecución del  Plan  Anual de Adquisiciones-PAA, en razón a que, el presupuesto planeado y aprobado presenta diferencias considerables con respecto a lo ejecutado en su PAA.</t>
  </si>
  <si>
    <t>Imposibilidades en el Informe de Ejecución de Gastos</t>
  </si>
  <si>
    <t>Planificación</t>
  </si>
  <si>
    <t>Hallazgo Administrativo por la inadecuada programación en el manejo de los rubros de los gastos de funcionamiento y deficiencias en la Planeación del Plan Anual de Adquisiciones - PAA, de la Unidad Ejecutora 1.</t>
  </si>
  <si>
    <t xml:space="preserve">3.3.4.2 </t>
  </si>
  <si>
    <t>Entre el presupuesto disponible y el PAA, existen diferencias en las cifras, lo cual denota falta de coordinación entre las áreas que planean y ejecutan. Así mismo, en el manejo de los rubros antes mencionados, existen debilidades en la planeación, programación y ejecución del PAA, en razón a que, el presupuesto planeado y aprobado presenta diferencias considerables con respecto a lo ejecutado en su PAA.</t>
  </si>
  <si>
    <t>Imposibilidades en el informe de Vigencias Futuras</t>
  </si>
  <si>
    <t>Programación integral</t>
  </si>
  <si>
    <t>Hallazgo Administrativo con presunta incidencia disciplinaria por no iniciar a partir del 01/01/2021 con el mismo registro de las reservas constituidas al cierre de la vigencia 31/12/2020 y por presentar inconsistencias en la información reportada en el Acta de Fenecimiento pasivos exigibles No. 1, Rubro de Funcionamiento del 31 de diciembre de 2021</t>
  </si>
  <si>
    <t>Con Posible Incidencia Disciplinaria</t>
  </si>
  <si>
    <t>3.3.4.3</t>
  </si>
  <si>
    <t>Del análisis realizado a los pasivos exigibles, en la información allegada a través de la respuesta 2022EE017534O1 del 21/01/2022, se encontraron inconsistencias, contraviniendo lo estipulado en el instructivo para diligenciar el formato CB-0002 - PASIVOS EXIGIBLES AL CIERRE DE LA VIGENCIA, de la Contraloría de Bogotá D.C. que indica: “Pasivos exigibles al cierre de la vigencia debe contener la relación de los compromisos presupuestales suscritos en vigencias anteriores y que a diciembre 31 de la vigencia actual presentan saldo por ejecutar y/o pagar”. En razón, que no coinciden las cifras reportadas en el acta de fenecimiento No. 01 del 31/12/2021, con las auditadas,</t>
  </si>
  <si>
    <t>Incorrección en el informe de Ejecución de Obligaciones por pagar de la vigencia auditar</t>
  </si>
  <si>
    <t>Universalidad</t>
  </si>
  <si>
    <t>Hallazgo Administrativo con presunta incidencia disciplinaria por superar los porcentajes permitidos en la constitución de las reservas presupuestales a 31/12/2021.</t>
  </si>
  <si>
    <t xml:space="preserve">3.3.4.4 </t>
  </si>
  <si>
    <t>Verificada, la constitución de las reservas presupuestales de la SDH para las Unidades Ejecutoras 01 y 04, se evidenció que por Gastos de Funcionamiento suman $19.003.359.797 equivalente al 7,0% y por inversión $19,783,635,999 correspondiente al 37,13% del presupuesto definitivo de la vigencia 2021.</t>
  </si>
  <si>
    <t>Incorrección en el informe de Pasivos Exigibles</t>
  </si>
  <si>
    <t>Hallazgo Administrativo por aumento en la constitución de Cuentas por Pagar de las unidades ejecutoras 01, 02 y 04, a diciembre 31 de 2021.</t>
  </si>
  <si>
    <t xml:space="preserve">3.3.4.6 </t>
  </si>
  <si>
    <t>xxxxxx</t>
  </si>
  <si>
    <t>Incorrección en el informe de Vigencias Futuras</t>
  </si>
  <si>
    <t>Falta de soportes</t>
  </si>
  <si>
    <t>Coherencia Macroeconómica</t>
  </si>
  <si>
    <t>xcc</t>
  </si>
  <si>
    <t>Con Posible Incidencia Disciplinaria y Penal</t>
  </si>
  <si>
    <t>Incorrección en el informe de Ejecución de Cuentas por Pagar de la vigencia auditar</t>
  </si>
  <si>
    <t>Inconsistencia en los informes</t>
  </si>
  <si>
    <t>Con Posible Incidencia Penal</t>
  </si>
  <si>
    <t>Incorrección en el informe de Ejecución de Reservas Costituidas por pagar de la vigencia anterior</t>
  </si>
  <si>
    <t>Diferencias en registro</t>
  </si>
  <si>
    <t>Unidad de caja</t>
  </si>
  <si>
    <t>nnnn</t>
  </si>
  <si>
    <t>n</t>
  </si>
  <si>
    <t>Totales</t>
  </si>
  <si>
    <r>
      <rPr>
        <b/>
        <sz val="11"/>
        <color theme="1"/>
        <rFont val="Arial"/>
        <family val="2"/>
      </rPr>
      <t>Nota 1:</t>
    </r>
    <r>
      <rPr>
        <sz val="11"/>
        <color theme="1"/>
        <rFont val="Arial"/>
        <family val="2"/>
      </rPr>
      <t xml:space="preserve"> Insertar tantas filas con los desplegables acorde a los resultados de la auditoría</t>
    </r>
  </si>
  <si>
    <r>
      <t xml:space="preserve">Nota1: </t>
    </r>
    <r>
      <rPr>
        <sz val="11"/>
        <color theme="1"/>
        <rFont val="Arial"/>
        <family val="2"/>
      </rPr>
      <t xml:space="preserve">Deje en blanco las celdas de las cuentas o rubros presupuestales no auditados
</t>
    </r>
    <r>
      <rPr>
        <b/>
        <sz val="11"/>
        <color theme="1"/>
        <rFont val="Arial"/>
        <family val="2"/>
      </rPr>
      <t xml:space="preserve">Nota 2: </t>
    </r>
    <r>
      <rPr>
        <sz val="11"/>
        <color theme="1"/>
        <rFont val="Arial"/>
        <family val="2"/>
      </rPr>
      <t>En el valor de las inconsistencias de la cuenta principal de Gastos no incluya el correspondiente a las otras cuentas de gastos o aspectos auditados y registrados en este cuadro</t>
    </r>
  </si>
  <si>
    <t>INCORRECCIONES EVIDENCIADAS</t>
  </si>
  <si>
    <t>IMPOSIBILIDADES PRESENTADAS</t>
  </si>
  <si>
    <t>CALIFICACION POR INDICADORES Y HALLAZGOS POR PRINCIPIO</t>
  </si>
  <si>
    <t>Respecto al agregado por valor: Número de veces en que las incorrecciones de los Rubros sobrepasan el valor de la materialidad?</t>
  </si>
  <si>
    <t>Respecto al agregado por valor: Número de veces en que las imposibilidades de los Rubros sobrepasan el valor de la materialidad?</t>
  </si>
  <si>
    <t>CLASIFICACIÓN PRESUPUESTAL</t>
  </si>
  <si>
    <t>AFECTACIÓN DE HALLAZGOS</t>
  </si>
  <si>
    <t>RESULTADO
con Afectación de Hallazgos</t>
  </si>
  <si>
    <t>Número de INCORRECCIONES en función a la Materialidad
(En función al valor)</t>
  </si>
  <si>
    <t>Número de INCORRECCIONES en función a la Materialidad
(En %)</t>
  </si>
  <si>
    <t>Número de IMPOSIBILIDADES en función a la Materialidad
(En función al valor)</t>
  </si>
  <si>
    <t>Número de 
IMPOSIBILIDADES en función a la Materialidad
(En %)</t>
  </si>
  <si>
    <t>Número de INCORRECCIONES+
IMPOSIBILIDADES en función a la Materialidad
(En función al valor)</t>
  </si>
  <si>
    <t>Número de INCORRECCIONES+
IMPOSIBILIDADES en función a la Materialidad
(En %)</t>
  </si>
  <si>
    <t>Con Incidencia Fiscal</t>
  </si>
  <si>
    <t>Con Incidencia Fiscal y posible Disciplinaria</t>
  </si>
  <si>
    <t xml:space="preserve">TOTALES </t>
  </si>
  <si>
    <r>
      <t xml:space="preserve">Nota1: </t>
    </r>
    <r>
      <rPr>
        <sz val="11"/>
        <color theme="1"/>
        <rFont val="Arial"/>
        <family val="2"/>
      </rPr>
      <t>Seleccione de la columna "AFECTACIÓN DE HALLAZGOS" el tipo de hallazgo determinado en cada cuenta, rubro o aspecto presupuestal auditado o si no tuvo hallazgos, deje en blanco las celdas de las cuentas, rubros o aspectos presupuestales no aplicables o no auditados</t>
    </r>
    <r>
      <rPr>
        <b/>
        <sz val="11"/>
        <color theme="1"/>
        <rFont val="Arial"/>
        <family val="2"/>
      </rPr>
      <t xml:space="preserve">. </t>
    </r>
    <r>
      <rPr>
        <sz val="11"/>
        <color theme="1"/>
        <rFont val="Arial"/>
        <family val="2"/>
      </rPr>
      <t>Los demás cálculos son automáticos</t>
    </r>
  </si>
  <si>
    <t>CONSOLIDADO</t>
  </si>
  <si>
    <t>INDICE PREDOMINATE ENTRE INGRESOS Y GASTOS / NUMERO DE INCORRECCIONES + IMPOSIBILIDADES</t>
  </si>
  <si>
    <r>
      <rPr>
        <sz val="11"/>
        <color theme="1"/>
        <rFont val="Arial"/>
        <family val="2"/>
      </rPr>
      <t xml:space="preserve">LAS INCORRECCIONES + IMPOSIBILIDADES SON </t>
    </r>
    <r>
      <rPr>
        <b/>
        <sz val="11"/>
        <color theme="1"/>
        <rFont val="Arial"/>
        <family val="2"/>
      </rPr>
      <t>NO MATERIALES</t>
    </r>
  </si>
  <si>
    <r>
      <rPr>
        <sz val="11"/>
        <color theme="1"/>
        <rFont val="Arial"/>
        <family val="2"/>
      </rPr>
      <t>LAS INCORRECCIONES + IMPOSIBILIDADES SON</t>
    </r>
    <r>
      <rPr>
        <b/>
        <sz val="11"/>
        <color theme="1"/>
        <rFont val="Arial"/>
        <family val="2"/>
      </rPr>
      <t xml:space="preserve"> MATERIALES</t>
    </r>
  </si>
  <si>
    <r>
      <rPr>
        <sz val="11"/>
        <color theme="1"/>
        <rFont val="Arial"/>
        <family val="2"/>
      </rPr>
      <t>LAS INCORRECCIONES + IMPOSIBILIDADES SON</t>
    </r>
    <r>
      <rPr>
        <b/>
        <sz val="11"/>
        <color theme="1"/>
        <rFont val="Arial"/>
        <family val="2"/>
      </rPr>
      <t xml:space="preserve"> MATERIALES GENERALIZADAS</t>
    </r>
  </si>
  <si>
    <t>SI LAS INCORRECCIONES + LAS IMPOSIBILIDADES SON MATERIALES Y GENERALIZADAS, ESTABLECER CUALES SON PREDOMINANTES</t>
  </si>
  <si>
    <t>Sección Informativa que no requiere ningún diligenciamiento</t>
  </si>
  <si>
    <t>CONCEPTO CONSOLIDADO</t>
  </si>
  <si>
    <t>CALIFICACION CONSOLIDADA</t>
  </si>
  <si>
    <t>Puntaje asignado de acuerdo con la opinión.</t>
  </si>
  <si>
    <r>
      <t>NO MATERIAL</t>
    </r>
    <r>
      <rPr>
        <sz val="11"/>
        <color indexed="8"/>
        <rFont val="Arial"/>
        <family val="2"/>
      </rPr>
      <t xml:space="preserve"> 
Menores a 1 vez la materialidad establecida para el total de los Rubros del Ingreso o los Rubos de Gastos.</t>
    </r>
  </si>
  <si>
    <r>
      <t>NO MATERIAL</t>
    </r>
    <r>
      <rPr>
        <sz val="11"/>
        <color indexed="8"/>
        <rFont val="Arial"/>
        <family val="2"/>
      </rPr>
      <t xml:space="preserve"> 
Menores a 1 vez la materialidad establecida para del Los Rubros de Ingresos o los Rubros de Gastos.</t>
    </r>
  </si>
  <si>
    <r>
      <t>NO MATERIAL</t>
    </r>
    <r>
      <rPr>
        <sz val="11"/>
        <color indexed="8"/>
        <rFont val="Arial"/>
        <family val="2"/>
      </rPr>
      <t xml:space="preserve"> 
Menores a 1 vez la materialidad establecida para el total de LOS Rubros de Ingresos o los Rubros de Gastos.</t>
    </r>
  </si>
  <si>
    <r>
      <t xml:space="preserve">MATERIAL 
</t>
    </r>
    <r>
      <rPr>
        <sz val="11"/>
        <color indexed="8"/>
        <rFont val="Arial"/>
        <family val="2"/>
      </rPr>
      <t>Mayor a 1 Vez y menor a 5 veces la materialidad establecida para el total de los Rubros de Ingresos o de los Rubros de Gastos</t>
    </r>
  </si>
  <si>
    <r>
      <t xml:space="preserve">MATERIAL 
</t>
    </r>
    <r>
      <rPr>
        <sz val="11"/>
        <color indexed="8"/>
        <rFont val="Arial"/>
        <family val="2"/>
      </rPr>
      <t>Mayor a 1 Vez y menor a 5 veces la materialidad establecida para el total de los Rubros de Ingresos o de los Gastos</t>
    </r>
  </si>
  <si>
    <r>
      <t xml:space="preserve">MATERIAL 
</t>
    </r>
    <r>
      <rPr>
        <sz val="11"/>
        <color indexed="8"/>
        <rFont val="Arial"/>
        <family val="2"/>
      </rPr>
      <t>Mayor a 1 Vez y menor a 5 veces la materialidad establecida para el total de los Rubros de Ingresos o de Gastos</t>
    </r>
  </si>
  <si>
    <r>
      <rPr>
        <b/>
        <sz val="11"/>
        <color indexed="8"/>
        <rFont val="Arial"/>
        <family val="2"/>
      </rPr>
      <t>MATERIAL GENERALIZADA</t>
    </r>
    <r>
      <rPr>
        <sz val="11"/>
        <color indexed="8"/>
        <rFont val="Arial"/>
        <family val="2"/>
      </rPr>
      <t xml:space="preserve">
Mayor o igual a 5 veces la materialidad establecida para el total de los Rubros de Ingresos o de los Rubros de Gastos</t>
    </r>
  </si>
  <si>
    <r>
      <rPr>
        <b/>
        <sz val="11"/>
        <color indexed="8"/>
        <rFont val="Arial"/>
        <family val="2"/>
      </rPr>
      <t>MATERIAL GENERALIZADA</t>
    </r>
    <r>
      <rPr>
        <sz val="11"/>
        <color indexed="8"/>
        <rFont val="Arial"/>
        <family val="2"/>
      </rPr>
      <t xml:space="preserve">
Mayor o igual a 5 veces la materialidad establecida para el total de los Rubros de Ingresos o los Rubros de Gastos</t>
    </r>
  </si>
  <si>
    <r>
      <rPr>
        <b/>
        <sz val="11"/>
        <color indexed="8"/>
        <rFont val="Arial"/>
        <family val="2"/>
      </rPr>
      <t>MATERIAL GENERALIZADA</t>
    </r>
    <r>
      <rPr>
        <sz val="11"/>
        <color indexed="8"/>
        <rFont val="Arial"/>
        <family val="2"/>
      </rPr>
      <t xml:space="preserve">
Mayor o Igual a 5 veces la materialidad establecida para el total de los Rubros de Ingresos o de Gastos</t>
    </r>
  </si>
  <si>
    <r>
      <rPr>
        <b/>
        <sz val="11"/>
        <color indexed="8"/>
        <rFont val="Arial"/>
        <family val="2"/>
      </rPr>
      <t xml:space="preserve">MATERIAL GENERALIZADA
</t>
    </r>
    <r>
      <rPr>
        <sz val="11"/>
        <color indexed="8"/>
        <rFont val="Arial"/>
        <family val="2"/>
      </rPr>
      <t>Mayor o igual a 5 veces la materilidad establecidad para el total de Los Rubros de Ingresos o los Rubros de Gastos, siempre y cuando el numero de veces de las imposibilidades supere el nuemero de veces de las incorrecciones incorrecciones.</t>
    </r>
  </si>
  <si>
    <t>Nombre</t>
  </si>
  <si>
    <t>Personal de Apoyo</t>
  </si>
  <si>
    <t>Observaciones del Líder</t>
  </si>
  <si>
    <t>BASE MATERIALIDAD</t>
  </si>
  <si>
    <t>% Materialidad con Concepto Vig Anterior</t>
  </si>
  <si>
    <t>% Materialidad sin Concepto Vig Anterior</t>
  </si>
  <si>
    <t>Tipo de Incorrección o Imposibilidad
(lista desplegable)</t>
  </si>
  <si>
    <r>
      <t xml:space="preserve">Clasificación presupuestal
</t>
    </r>
    <r>
      <rPr>
        <sz val="11"/>
        <color indexed="8"/>
        <rFont val="Arial"/>
        <family val="2"/>
      </rPr>
      <t>(lista desplegable)</t>
    </r>
  </si>
  <si>
    <r>
      <t xml:space="preserve">Origen o Causa
</t>
    </r>
    <r>
      <rPr>
        <sz val="11"/>
        <color indexed="8"/>
        <rFont val="Arial"/>
        <family val="2"/>
      </rPr>
      <t>(lista desplegable)</t>
    </r>
  </si>
  <si>
    <r>
      <t xml:space="preserve">Tipo de Hallazgo
</t>
    </r>
    <r>
      <rPr>
        <sz val="11"/>
        <color theme="1"/>
        <rFont val="Arial"/>
        <family val="2"/>
      </rPr>
      <t>(lista desplegable)</t>
    </r>
  </si>
  <si>
    <r>
      <t xml:space="preserve">Principios
</t>
    </r>
    <r>
      <rPr>
        <sz val="11"/>
        <color theme="1"/>
        <rFont val="Arial"/>
        <family val="2"/>
      </rPr>
      <t>(lista desplegable)</t>
    </r>
  </si>
  <si>
    <t>Afectación por Tipo de Hallazgo</t>
  </si>
  <si>
    <t>Entidades del sector central: Secretaria de Despacho, Secretaría Distrital de Hacienda; Unidades Administrativas,Departamentos Administrativos. Así como Establecimientos Públicos, Universidad Distrital Francisco José de Caldas, Fondos financiero de salud, y Fondos de Desarrollo local -FDL</t>
  </si>
  <si>
    <t>Entidades del sector descentralizado: Empresas Industriales y Comerciales, Empresas Sociales del Estado</t>
  </si>
  <si>
    <t>UNIVERSO DE INGRESOS: Constituido por el total del presupuesto RECAUDADO, por todos los conceptos, obtenidos en la vigencia a auditar</t>
  </si>
  <si>
    <t>Falta de registros</t>
  </si>
  <si>
    <t>Sin Hallazgos</t>
  </si>
  <si>
    <t>CÓDIGO INGRESOS</t>
  </si>
  <si>
    <t>UNIVERSO DE GASTOS: Conformado por el total del presupuesto COMPROMETIDO, por todos los conceptos, en la vigencia a auditar</t>
  </si>
  <si>
    <t>Imposibilidades en el informe de Ejecución de Cuentas por Pagar de la vigencia auditar</t>
  </si>
  <si>
    <t>O1</t>
  </si>
  <si>
    <t>X</t>
  </si>
  <si>
    <t>UNIVERSO DE RESERVAS CONSTITUIDAS / OBLIGACIONES / CUENTAS POR PAGAR: Conformado por el total de estos compromisos a 31 de Diciembre de la vigencia a auditar</t>
  </si>
  <si>
    <t>Incorrección en el informe de Ejecución de Cuentas por Pagar de la vigencia anterior</t>
  </si>
  <si>
    <t>O10</t>
  </si>
  <si>
    <t>DISPONIBILIDAD INICIAL</t>
  </si>
  <si>
    <t>PREDOMINA INCORRECCIONES</t>
  </si>
  <si>
    <t>Imposibilidades en el informe de Ejecución de Cuentas por Pagar de la vigencia anterior</t>
  </si>
  <si>
    <t>O1002</t>
  </si>
  <si>
    <t>Bancos</t>
  </si>
  <si>
    <t>Incorrección en el Informe de Ejecución de Gastos</t>
  </si>
  <si>
    <t xml:space="preserve">Falta de Controles </t>
  </si>
  <si>
    <t>O1003</t>
  </si>
  <si>
    <t>Inversiones Temporales</t>
  </si>
  <si>
    <t>PREDOMINA IMPOSIBILIDADES</t>
  </si>
  <si>
    <t>Especialización</t>
  </si>
  <si>
    <t>O11</t>
  </si>
  <si>
    <t>INGRESOS CORRIENTES</t>
  </si>
  <si>
    <t>Incorrección en el informe de Ejecución de Reservas Costituidas por pagar de la vigencia auditar</t>
  </si>
  <si>
    <t>Incumplimiento Normativos - Procedimientos</t>
  </si>
  <si>
    <t>O1101</t>
  </si>
  <si>
    <t>Tributarios</t>
  </si>
  <si>
    <t>Imposibilidades en el informe de Ejecución de Reservas Costituidas por pagar de la vigencia auditar</t>
  </si>
  <si>
    <t>Información no disponible</t>
  </si>
  <si>
    <t>Con Incidencia Fiscal y posible Penal</t>
  </si>
  <si>
    <t>Sostenibilidad y Estabilidad Fiscal</t>
  </si>
  <si>
    <t>O1102</t>
  </si>
  <si>
    <t>No Tributarios</t>
  </si>
  <si>
    <t>Información no verificable</t>
  </si>
  <si>
    <t>Con Incidencia Fiscal y posible Disciplinaria y Penal</t>
  </si>
  <si>
    <t>Inembargabilidad</t>
  </si>
  <si>
    <t>O12</t>
  </si>
  <si>
    <t>RECURSOS DE CAPITAL</t>
  </si>
  <si>
    <t>Imposibilidades en el informe de Ejecución de Obligaciones por pagar de la vigencia auditar</t>
  </si>
  <si>
    <t>Diferencias en cifras</t>
  </si>
  <si>
    <t>Autonomia presupuestal</t>
  </si>
  <si>
    <t>O1201</t>
  </si>
  <si>
    <t>Disposición de activos</t>
  </si>
  <si>
    <t>Bajo Recaudo</t>
  </si>
  <si>
    <t>Legalidad</t>
  </si>
  <si>
    <t>O1202</t>
  </si>
  <si>
    <t>Excedentes financieros</t>
  </si>
  <si>
    <t>114 - Secretaría Distrital de Salud – SDS y 201 - Fondo Financiero Distrital de Salud – FFDS</t>
  </si>
  <si>
    <t>Imposibilidades en el informe de Ejecución de Reservas Costituidas por pagar de la vigencia anterior</t>
  </si>
  <si>
    <t>Recaudo Inoportuno</t>
  </si>
  <si>
    <t>O1203</t>
  </si>
  <si>
    <t>Dividendos y utilidades por otras Inversiones de CAPITAL</t>
  </si>
  <si>
    <t>Incorrección en el informe de Ejecución de Obligaciones por pagar de la vigencia anterior</t>
  </si>
  <si>
    <t>Recaudo no programado</t>
  </si>
  <si>
    <t>O1205</t>
  </si>
  <si>
    <t>Rendimientos financieros</t>
  </si>
  <si>
    <t>Imposibilidades en el informe de Ejecución de Obligaciones por pagar de la vigencia anterior</t>
  </si>
  <si>
    <t>Registros en Rubro no pertinente</t>
  </si>
  <si>
    <t>O1206</t>
  </si>
  <si>
    <t>RECURSOS de crédito externo</t>
  </si>
  <si>
    <t>Inconsistencia de cantidad</t>
  </si>
  <si>
    <t>O1207</t>
  </si>
  <si>
    <t>RECURSOS de crédito interno</t>
  </si>
  <si>
    <t>Imposibilidades en el informe de Pasivos Exigibles</t>
  </si>
  <si>
    <t>Inconsistencia por clasificación</t>
  </si>
  <si>
    <t>O1208</t>
  </si>
  <si>
    <t>Transferencias de CAPITAL</t>
  </si>
  <si>
    <t>Incorrección en el Informe de Ejecución de GASTOS de Funcionamiento</t>
  </si>
  <si>
    <t>Baja Ejecución</t>
  </si>
  <si>
    <t>O1209</t>
  </si>
  <si>
    <t>Recuperación de cartera</t>
  </si>
  <si>
    <t>Imposibilidades en el Informe de Ejecución de GASTOS de Funcionamiento</t>
  </si>
  <si>
    <t>Incumplimiento en el Recaudo</t>
  </si>
  <si>
    <t>O1210</t>
  </si>
  <si>
    <t>RECURSOS del balance</t>
  </si>
  <si>
    <t>Incorrección en el Informe de Ejecución de Ingresos</t>
  </si>
  <si>
    <t>Inconsistencias en las cifras presupuestales</t>
  </si>
  <si>
    <t>O1211</t>
  </si>
  <si>
    <t>Diferencial cambiario</t>
  </si>
  <si>
    <t>Otros</t>
  </si>
  <si>
    <t>O1212</t>
  </si>
  <si>
    <t>Retiros FONPET</t>
  </si>
  <si>
    <t>O1213</t>
  </si>
  <si>
    <t>Reintegros y otros RECURSOS no apropiados</t>
  </si>
  <si>
    <t>O122</t>
  </si>
  <si>
    <t>Transferencias</t>
  </si>
  <si>
    <t>O12201</t>
  </si>
  <si>
    <t>Transferencias corrientes nacionales</t>
  </si>
  <si>
    <t>O12202</t>
  </si>
  <si>
    <t>Departamentales</t>
  </si>
  <si>
    <t>O12203</t>
  </si>
  <si>
    <t>Distritales</t>
  </si>
  <si>
    <t>O12204</t>
  </si>
  <si>
    <t>Otras Transferencias</t>
  </si>
  <si>
    <t>O15</t>
  </si>
  <si>
    <t>Transferencias Administración Central</t>
  </si>
  <si>
    <t>CÓDIGO GASTOS</t>
  </si>
  <si>
    <t>O2</t>
  </si>
  <si>
    <t>O21</t>
  </si>
  <si>
    <t>GASTOS DE FUNCIONAMIENTO</t>
  </si>
  <si>
    <t>O211</t>
  </si>
  <si>
    <t>Gasto de personal</t>
  </si>
  <si>
    <t>O21101</t>
  </si>
  <si>
    <t>Planta de Personal permanente</t>
  </si>
  <si>
    <t>O21102</t>
  </si>
  <si>
    <t>Personal supernumerario y Planta temporal</t>
  </si>
  <si>
    <t>No Aplica</t>
  </si>
  <si>
    <t>O212</t>
  </si>
  <si>
    <t>Adquisición bienes y servicios</t>
  </si>
  <si>
    <t>O21201</t>
  </si>
  <si>
    <t>Adquisición de activos no financieros</t>
  </si>
  <si>
    <t>O21202</t>
  </si>
  <si>
    <t>Adquisiciones diferentes de activos</t>
  </si>
  <si>
    <t>O213</t>
  </si>
  <si>
    <t>Transferencias CORRIENTES</t>
  </si>
  <si>
    <t>O21304</t>
  </si>
  <si>
    <t>A organizaciones nacionales</t>
  </si>
  <si>
    <t>O21305</t>
  </si>
  <si>
    <t>A entidades del gobierno</t>
  </si>
  <si>
    <t>O21314</t>
  </si>
  <si>
    <t>Aportes al FONPET</t>
  </si>
  <si>
    <t>O217</t>
  </si>
  <si>
    <t>Disminución de Pasivos</t>
  </si>
  <si>
    <t>O218</t>
  </si>
  <si>
    <t>O22</t>
  </si>
  <si>
    <t>SERVICIO DE LA DEUDA PÚBLICA</t>
  </si>
  <si>
    <t>O221</t>
  </si>
  <si>
    <t>Servicios de la deuda pública externa</t>
  </si>
  <si>
    <t>O22101</t>
  </si>
  <si>
    <t>Principal</t>
  </si>
  <si>
    <t>O22102</t>
  </si>
  <si>
    <t>Intereses</t>
  </si>
  <si>
    <t>O222</t>
  </si>
  <si>
    <t>Servicios de la deuda pública interna</t>
  </si>
  <si>
    <t>O22201</t>
  </si>
  <si>
    <t>O22202</t>
  </si>
  <si>
    <t>O22203</t>
  </si>
  <si>
    <t>Comisiones y otros GASTOS</t>
  </si>
  <si>
    <t>O23</t>
  </si>
  <si>
    <t>INVERSIÓN</t>
  </si>
  <si>
    <t>O2301</t>
  </si>
  <si>
    <t>Directa</t>
  </si>
  <si>
    <t>O233</t>
  </si>
  <si>
    <t>O23301</t>
  </si>
  <si>
    <t>Subvenciones</t>
  </si>
  <si>
    <t>O23302</t>
  </si>
  <si>
    <t>A empresas diferentes de subvenciones</t>
  </si>
  <si>
    <t>Pasivos Otros Distrito</t>
  </si>
  <si>
    <t>O23305</t>
  </si>
  <si>
    <t>Reservas de la vigencia anterior</t>
  </si>
  <si>
    <t>O23307</t>
  </si>
  <si>
    <t>Prestaciones para cubrir riesgos sociales</t>
  </si>
  <si>
    <t>Gastos comprometidos</t>
  </si>
  <si>
    <t>O23313</t>
  </si>
  <si>
    <t>Sentencias y conciliaciones</t>
  </si>
  <si>
    <t>Gastos Generales</t>
  </si>
  <si>
    <t>O234</t>
  </si>
  <si>
    <t>Transferencias para INVERSIÓN</t>
  </si>
  <si>
    <t>Gastos de Operación</t>
  </si>
  <si>
    <t>O23401</t>
  </si>
  <si>
    <t>Transferencia Distrital</t>
  </si>
  <si>
    <t>Gastos Diversos</t>
  </si>
  <si>
    <t>Otros Rubros Presupuestales</t>
  </si>
  <si>
    <t>O4</t>
  </si>
  <si>
    <t>DISPONIBILIDAD FINAL</t>
  </si>
  <si>
    <t>CÓDIGO OTROS GASTOS</t>
  </si>
  <si>
    <t>No Presenta</t>
  </si>
  <si>
    <t xml:space="preserve">500 - Fondo Distrital para la Gestión de Riesgos y Cambio Climático de Bogotá D.C. –FONDIGER </t>
  </si>
  <si>
    <t>INSTRUMENTO PARA LA CALIFICACIÓN DE LA GESTIÓN FISCAL</t>
  </si>
  <si>
    <t>AUDITORÍA FINANCIERA, DE GESTIÓN Y RESULTADOS</t>
  </si>
  <si>
    <t>PONDERACIÓN MACRO</t>
  </si>
  <si>
    <t>PONDERACIÓN PRO</t>
  </si>
  <si>
    <t>PRINCIPIOS DE LA GESTIÓN FISCAL</t>
  </si>
  <si>
    <t>ECONOMIA</t>
  </si>
  <si>
    <t>CONCEPTO  GESTIÓN DESEMPEÑO FINANCIERO</t>
  </si>
  <si>
    <t>TOTAL MACROPROCESO GESTIÓN FINANCIERA</t>
  </si>
  <si>
    <t>GESTIÓN PRESUPUESTAL Y RESULTADOS</t>
  </si>
  <si>
    <t>TOTAL PROCESO GESTIÓN PRESUPUESTAL</t>
  </si>
  <si>
    <t>GESTIÓN Y RESULTADOS</t>
  </si>
  <si>
    <t>TOTAL PONDERADO</t>
  </si>
  <si>
    <t>Calificación por Principio</t>
  </si>
  <si>
    <t>CONCEPTO DE GESTIÓN</t>
  </si>
  <si>
    <t>CONTROL FISCAL INTERNO</t>
  </si>
  <si>
    <t>CONCEPTO DE CALIDAD Y EFICIENCIA</t>
  </si>
  <si>
    <t>CONTROL INTERNO CONTABLE</t>
  </si>
  <si>
    <t>CALIFICACIÓN PLAN DE MEJORAMIENTO</t>
  </si>
  <si>
    <t xml:space="preserve">SUPERVISOR: </t>
  </si>
  <si>
    <t>Fecha de Revisión:</t>
  </si>
  <si>
    <t>PRINCIPIOS</t>
  </si>
  <si>
    <t>Eficacia</t>
  </si>
  <si>
    <t>Eficiencia</t>
  </si>
  <si>
    <t>Economía</t>
  </si>
  <si>
    <t>ESTRUCTURA</t>
  </si>
  <si>
    <t>PONDERACIÓN INICIAL</t>
  </si>
  <si>
    <t>CON DATOS EFICACIA</t>
  </si>
  <si>
    <t>CON DATOS EFICIENCIA</t>
  </si>
  <si>
    <t>Financiera</t>
  </si>
  <si>
    <t xml:space="preserve">PRINCIPIO </t>
  </si>
  <si>
    <t>Clientes/ Mercados y Negocios</t>
  </si>
  <si>
    <t>&gt;=75%</t>
  </si>
  <si>
    <t>Procesos Internos</t>
  </si>
  <si>
    <t>Innovación y aprendizaje</t>
  </si>
  <si>
    <t>RESULTADO POR PRINCIPIO</t>
  </si>
  <si>
    <t xml:space="preserve">La calificación otorgada debe ser incluida en escala de 0 a 100, siendo 0% la mínima calificación posible y 100% la máxima calificación posible. </t>
  </si>
  <si>
    <t xml:space="preserve">VALOR ANUAL PLAN ESTRATEGICO </t>
  </si>
  <si>
    <t>HOJA DE CALIFICACION</t>
  </si>
  <si>
    <t>ESTRUCTURA ESTRATEGICA</t>
  </si>
  <si>
    <t>OBJETIVO</t>
  </si>
  <si>
    <t>ESTRATEGIA/PROYECTO/UNIDAD DE NEGOCIO</t>
  </si>
  <si>
    <t>NOMBRE DEL INDICADOR</t>
  </si>
  <si>
    <t>FORMULA DEL INDICADOR</t>
  </si>
  <si>
    <t>LÍNEA BASE</t>
  </si>
  <si>
    <t>META PROGRAMADA</t>
  </si>
  <si>
    <t>META EJECUTADA</t>
  </si>
  <si>
    <t>NUMERAL HALLAZGO DEL INFORME</t>
  </si>
  <si>
    <t>VALOR DEL HALLAZGO DEL INFORME</t>
  </si>
  <si>
    <t>PRESUPUESTO DE INGRESOS</t>
  </si>
  <si>
    <t>COMPARATIVO VIGENCIAS</t>
  </si>
  <si>
    <t>ANÁLISIS VIGENCIA ACTUAL</t>
  </si>
  <si>
    <t xml:space="preserve">Valores en Pesos </t>
  </si>
  <si>
    <t>Rubro y/o cuenta presupuestal</t>
  </si>
  <si>
    <t>Presupuesto definitivo
Vigencia Anterior</t>
  </si>
  <si>
    <t>% Participación
Presupuesto definitivo
(vigencia anterior)</t>
  </si>
  <si>
    <t xml:space="preserve">Presupuesto definitivo Vigencia Actual </t>
  </si>
  <si>
    <t>% Participación
Presupuesto definitivo
(vigencia actual)</t>
  </si>
  <si>
    <t>Variación 
 absoluta</t>
  </si>
  <si>
    <t>% variación</t>
  </si>
  <si>
    <t>Explicación variación y participación</t>
  </si>
  <si>
    <t>Presupuesto Inicial a Auditar</t>
  </si>
  <si>
    <t>Modificaciones</t>
  </si>
  <si>
    <t>Presupuesto Definitivo
Vigencia a Auditar</t>
  </si>
  <si>
    <t>Recaudo acumulado vigencia actual</t>
  </si>
  <si>
    <t>% Recaudo acumulado vigencia actual</t>
  </si>
  <si>
    <t>Muestra</t>
  </si>
  <si>
    <t>Observaciones</t>
  </si>
  <si>
    <t>Menos</t>
  </si>
  <si>
    <t>Más</t>
  </si>
  <si>
    <t>PRESUPUESTO DE GASTOS</t>
  </si>
  <si>
    <t xml:space="preserve">Presupuesto vigente
(vigencia anterior) </t>
  </si>
  <si>
    <t>% Participación Presupuesto vigente
(vigencia anterior)</t>
  </si>
  <si>
    <t>Presupuesto vigente 
(vigencia actual)</t>
  </si>
  <si>
    <t>% Participación Presupuesto vigente 
(vigencia actual)</t>
  </si>
  <si>
    <t>Presupuesto vigente
(vigencia a auditar)</t>
  </si>
  <si>
    <t>Compromisos acumulados vigencia actual</t>
  </si>
  <si>
    <t>% Compromisos acumulados vigencia actual</t>
  </si>
  <si>
    <t>Giros acumulados vigencia actual</t>
  </si>
  <si>
    <t>% Giros acumulados vigencia actual</t>
  </si>
  <si>
    <t>Observaciones 
(Especialmente a compromisos y giros, entre otras)</t>
  </si>
  <si>
    <t>PRESUPUESTO DE GASTOS – RESERVAS / OBLIGACIONES POR PAGAR / CUENTAS POR PAGAR / PASIVOS EXIGIBLES / VIGENCIAS FUTURAS</t>
  </si>
  <si>
    <r>
      <t xml:space="preserve">CÓDIGO
</t>
    </r>
    <r>
      <rPr>
        <sz val="11"/>
        <color theme="0"/>
        <rFont val="Arial"/>
        <family val="2"/>
      </rPr>
      <t>(Si lo hay)</t>
    </r>
  </si>
  <si>
    <t>Aspecto</t>
  </si>
  <si>
    <t xml:space="preserve">Diligenciar de conformidad con el nivel de desagregación que el auditor considere y de acuerdo con el alcance del Plan de Trabajo. Se recomienda escoger aquello(a)s de mayor riesgo sobre los cuales se deberá focalizar la auditoría, incluyendo como mínimo las cuentas agregadas consideradas como Base de Análisis (Ingresos, Gastos/Costos y Gastos, Reservas, Obligaciones y/o Cuentas por Pagar). </t>
  </si>
  <si>
    <t>Aquellos seleccionados en la planeación con mayor riesgo, que focalizarán la auditoria. Por ejemplo aquellos rubros con baja ejecución y giros acumulados, que estén por debajo del 75%.Los cálculos automáticos para el análisis el auditor sobre los agregados y para aquellas cuentas que encuentre con alto riesgo, suceptibles de incluir en la muestra.</t>
  </si>
  <si>
    <r>
      <rPr>
        <b/>
        <sz val="11"/>
        <color theme="1"/>
        <rFont val="Arial"/>
        <family val="2"/>
      </rPr>
      <t xml:space="preserve">Nota 1: </t>
    </r>
    <r>
      <rPr>
        <sz val="11"/>
        <color theme="1"/>
        <rFont val="Arial"/>
        <family val="2"/>
      </rPr>
      <t>Con el diligenciamiento de este instrumento se pretende establecer el universo de los rubros y/o cuentas presupuestales a tener en cuenta del Sujeto de Control con corte a diciembre 31 de la vigencia a auditar y de esta forma establecer su participación % y principales variaciones con respecto a diciembre 31 del año anterior.</t>
    </r>
  </si>
  <si>
    <r>
      <rPr>
        <b/>
        <sz val="11"/>
        <color theme="1"/>
        <rFont val="Arial"/>
        <family val="2"/>
      </rPr>
      <t>Nota 2:</t>
    </r>
    <r>
      <rPr>
        <sz val="11"/>
        <color theme="1"/>
        <rFont val="Arial"/>
        <family val="2"/>
      </rPr>
      <t xml:space="preserve"> A partir de lo anterior, con el fin de focalizar la Muestra a Seleccionar, se dará aplicación a los criterios establecidos para seleccionar la muestra según los procedimientos establecidos.</t>
    </r>
  </si>
  <si>
    <r>
      <rPr>
        <b/>
        <sz val="11"/>
        <color theme="1"/>
        <rFont val="Arial"/>
        <family val="2"/>
      </rPr>
      <t>Nota 3:</t>
    </r>
    <r>
      <rPr>
        <sz val="11"/>
        <color theme="1"/>
        <rFont val="Arial"/>
        <family val="2"/>
      </rPr>
      <t xml:space="preserve"> Se deberan considerar dentro de los criterios base para la selección de la muestra, los resultados de la aplicación del PVCGF-15-11 Matriz de Riesgos y Controles.</t>
    </r>
  </si>
  <si>
    <r>
      <rPr>
        <b/>
        <sz val="11"/>
        <color theme="1"/>
        <rFont val="Arial"/>
        <family val="2"/>
      </rPr>
      <t>Nota 4</t>
    </r>
    <r>
      <rPr>
        <sz val="11"/>
        <color theme="1"/>
        <rFont val="Arial"/>
        <family val="2"/>
      </rPr>
      <t>: Se pueden agregar filas debajo de la primera y antes de la última fila de cada grupo de Ingresos o Gastos; para efectos de no alterar la formulación</t>
    </r>
  </si>
  <si>
    <t>PLANES Y PROYECTOS</t>
  </si>
  <si>
    <t>GASTO PÚBLICO</t>
  </si>
  <si>
    <t>CC</t>
  </si>
  <si>
    <t>Concepto gestión presupuestal</t>
  </si>
  <si>
    <t xml:space="preserve">Concepto gestión y resultados </t>
  </si>
  <si>
    <t>Concepto consolidado de Gestión Presupuestal y Resultados</t>
  </si>
  <si>
    <t>Concepto consolidado de Gestión Financiera</t>
  </si>
  <si>
    <t>Fenecimiento</t>
  </si>
  <si>
    <t>No Razonable</t>
  </si>
  <si>
    <t>NO FENECE</t>
  </si>
  <si>
    <t>No razonable</t>
  </si>
  <si>
    <t>FENECE</t>
  </si>
  <si>
    <t>Limpio o Sin Salvedades</t>
  </si>
  <si>
    <t>Concepto gestión Estados Financieros</t>
  </si>
  <si>
    <t>Concepto gestión Desempeño Financiero</t>
  </si>
  <si>
    <t>PROCESO GESTIÓN PRESUPUESTAL</t>
  </si>
  <si>
    <t>CONCEPTO DE RESULTADOS DE PLAN ESTRATEGICO</t>
  </si>
  <si>
    <t>RAZONABLE</t>
  </si>
  <si>
    <t>NO RAZONABLE</t>
  </si>
  <si>
    <t>Favorable</t>
  </si>
  <si>
    <t>Con Observaciones</t>
  </si>
  <si>
    <t>Desfavorable</t>
  </si>
  <si>
    <t>Concepto Planes y Proyectos</t>
  </si>
  <si>
    <t>Concepto Gasto Público</t>
  </si>
  <si>
    <t>Concepto consolidado de Gestión y Resultados</t>
  </si>
  <si>
    <t>CONCEPTO  PLANES Y PROYECTOS</t>
  </si>
  <si>
    <t>TOTAL PROCESO GESTIÓN Y RESULTADOS</t>
  </si>
  <si>
    <r>
      <t xml:space="preserve">Ejecución presupuestal de </t>
    </r>
    <r>
      <rPr>
        <b/>
        <u/>
        <sz val="12"/>
        <color theme="1"/>
        <rFont val="Calibri"/>
        <family val="2"/>
        <scheme val="minor"/>
      </rPr>
      <t>INGRESOS</t>
    </r>
  </si>
  <si>
    <r>
      <t xml:space="preserve">Ejecución presupuestal de </t>
    </r>
    <r>
      <rPr>
        <b/>
        <u/>
        <sz val="12"/>
        <color theme="1"/>
        <rFont val="Calibri"/>
        <family val="2"/>
        <scheme val="minor"/>
      </rPr>
      <t>GASTOS</t>
    </r>
  </si>
  <si>
    <r>
      <rPr>
        <b/>
        <sz val="11"/>
        <color theme="1"/>
        <rFont val="Arial"/>
        <family val="2"/>
      </rPr>
      <t>HALLAZGOS PARA CONCEPTO PRESUPUESTAL
INSTRUCCIONES:</t>
    </r>
    <r>
      <rPr>
        <sz val="11"/>
        <color theme="1"/>
        <rFont val="Arial"/>
        <family val="2"/>
      </rPr>
      <t xml:space="preserve">
</t>
    </r>
    <r>
      <rPr>
        <b/>
        <sz val="11"/>
        <color theme="1"/>
        <rFont val="Arial"/>
        <family val="2"/>
      </rPr>
      <t xml:space="preserve">Columna Condición o Situación encontrada: </t>
    </r>
    <r>
      <rPr>
        <sz val="11"/>
        <color theme="1"/>
        <rFont val="Arial"/>
        <family val="2"/>
      </rPr>
      <t xml:space="preserve">En esta sección el auditor debe describir brevemente la condición o situación encontrada relacionada con la cuenta, rubro o aspecto evaluado en el que se identificó la inconsistencia o deficiencia de control.
</t>
    </r>
    <r>
      <rPr>
        <b/>
        <sz val="11"/>
        <color theme="1"/>
        <rFont val="Arial"/>
        <family val="2"/>
      </rPr>
      <t xml:space="preserve">Columna Tipo de Incorrección o Imposibilidad: </t>
    </r>
    <r>
      <rPr>
        <sz val="11"/>
        <color theme="1"/>
        <rFont val="Arial"/>
        <family val="2"/>
      </rPr>
      <t>En esta sección el auditor debe seleccionar el tipo de incorrección o imposibilidad, de acuerdo con rubro presupuestal en el que se identificó la inconsistencia o deficiencia.</t>
    </r>
    <r>
      <rPr>
        <b/>
        <sz val="11"/>
        <color theme="1"/>
        <rFont val="Arial"/>
        <family val="2"/>
      </rPr>
      <t xml:space="preserve">
Columna Clasificación presupuestal:</t>
    </r>
    <r>
      <rPr>
        <sz val="11"/>
        <color theme="1"/>
        <rFont val="Arial"/>
        <family val="2"/>
      </rPr>
      <t xml:space="preserve"> Seleccionar la fila del rubro presupuestal agregado al cual pertenece la subcuenta en la que se identificó el hallazgo.
</t>
    </r>
    <r>
      <rPr>
        <b/>
        <sz val="11"/>
        <color theme="1"/>
        <rFont val="Arial"/>
        <family val="2"/>
      </rPr>
      <t>Columna Rubro o Aspecto Presupuestal:</t>
    </r>
    <r>
      <rPr>
        <sz val="11"/>
        <color theme="1"/>
        <rFont val="Arial"/>
        <family val="2"/>
      </rPr>
      <t xml:space="preserve"> Según el tipo de hallazgo y el rubro presupuestal, en la columna D, se registrará el rubro o cuenta presupuestal concreta por dónde se detectó el hallazgo.
</t>
    </r>
    <r>
      <rPr>
        <b/>
        <sz val="11"/>
        <color theme="1"/>
        <rFont val="Arial"/>
        <family val="2"/>
      </rPr>
      <t>Columna Origen o Causa:</t>
    </r>
    <r>
      <rPr>
        <sz val="11"/>
        <color theme="1"/>
        <rFont val="Arial"/>
        <family val="2"/>
      </rPr>
      <t xml:space="preserve"> De la lista desplegable seleccionar la situación que corresponda, según el origen del hallazgo.
</t>
    </r>
    <r>
      <rPr>
        <b/>
        <sz val="11"/>
        <color theme="1"/>
        <rFont val="Arial"/>
        <family val="2"/>
      </rPr>
      <t>Columna Principio Presupuestal afectado:</t>
    </r>
    <r>
      <rPr>
        <sz val="11"/>
        <color theme="1"/>
        <rFont val="Arial"/>
        <family val="2"/>
      </rPr>
      <t xml:space="preserve"> Seleccione del desplegable, el principio presupuestal afectado con el hallazgo presentado.
</t>
    </r>
    <r>
      <rPr>
        <b/>
        <sz val="11"/>
        <color theme="1"/>
        <rFont val="Arial"/>
        <family val="2"/>
      </rPr>
      <t>Columna Valor de la Incorrección o Imposibilidad:</t>
    </r>
    <r>
      <rPr>
        <sz val="11"/>
        <color theme="1"/>
        <rFont val="Arial"/>
        <family val="2"/>
      </rPr>
      <t xml:space="preserve"> En esta sección el auditor debe escribir el valor en pesos de la inconsistencia, en el evento de ser cuantificable, o que se haya cuantificado en el hallazgo.
</t>
    </r>
    <r>
      <rPr>
        <b/>
        <sz val="11"/>
        <color theme="1"/>
        <rFont val="Arial"/>
        <family val="2"/>
      </rPr>
      <t xml:space="preserve">Columna Porcentaje (% ) de hallazgo o salvedad respecto a la cuenta presupuestal: </t>
    </r>
    <r>
      <rPr>
        <sz val="11"/>
        <color theme="1"/>
        <rFont val="Arial"/>
        <family val="2"/>
      </rPr>
      <t xml:space="preserve">En esta sección el auditor debe consignar, el porcentaje del valor del hallazgo respecto del valor ejecutado de la cuenta presupuestal, cuando aplique.
</t>
    </r>
    <r>
      <rPr>
        <b/>
        <sz val="11"/>
        <color theme="1"/>
        <rFont val="Arial"/>
        <family val="2"/>
      </rPr>
      <t xml:space="preserve">Columna Resumen de la Observación o Hallazgo: </t>
    </r>
    <r>
      <rPr>
        <sz val="11"/>
        <color theme="1"/>
        <rFont val="Arial"/>
        <family val="2"/>
      </rPr>
      <t xml:space="preserve">En esta sección el auditor debe describir, una síntesis de la esencia del hallazgo.
</t>
    </r>
    <r>
      <rPr>
        <b/>
        <sz val="11"/>
        <color theme="1"/>
        <rFont val="Arial"/>
        <family val="2"/>
      </rPr>
      <t>Columna Efecto en caso de incorrección o posible efecto en caso de imposibilidad :</t>
    </r>
    <r>
      <rPr>
        <sz val="11"/>
        <color theme="1"/>
        <rFont val="Arial"/>
        <family val="2"/>
      </rPr>
      <t xml:space="preserve"> En esta sección el auditor debe escribir, el efecto o consecuencia que genera el   hallazgo.
</t>
    </r>
    <r>
      <rPr>
        <b/>
        <sz val="11"/>
        <color theme="1"/>
        <rFont val="Arial"/>
        <family val="2"/>
      </rPr>
      <t>Columna Presunta incidencia:</t>
    </r>
    <r>
      <rPr>
        <sz val="11"/>
        <color theme="1"/>
        <rFont val="Arial"/>
        <family val="2"/>
      </rPr>
      <t xml:space="preserve"> En esta sección el auditor debe seleccionar del desplegable, la(s) presuntas incidencias del hallazgo (fiscal, penal o disciplinaria).
</t>
    </r>
    <r>
      <rPr>
        <b/>
        <sz val="11"/>
        <color theme="1"/>
        <rFont val="Arial"/>
        <family val="2"/>
      </rPr>
      <t xml:space="preserve">Columna Numeral del hallazgo(s) en Informe Final: </t>
    </r>
    <r>
      <rPr>
        <sz val="11"/>
        <color theme="1"/>
        <rFont val="Arial"/>
        <family val="2"/>
      </rPr>
      <t xml:space="preserve">Registrar el numeral con el que se identifiquen los hallazgos que se determinen en la auditoría y que estén relacionados con la cuenta o rubro presupuestal auditado
</t>
    </r>
    <r>
      <rPr>
        <b/>
        <sz val="11"/>
        <color theme="1"/>
        <rFont val="Arial"/>
        <family val="2"/>
      </rPr>
      <t xml:space="preserve">Columna Referencia P/T: </t>
    </r>
    <r>
      <rPr>
        <sz val="11"/>
        <color theme="1"/>
        <rFont val="Arial"/>
        <family val="2"/>
      </rPr>
      <t xml:space="preserve">En esta sección el auditor debe escribir la referenciación del papel de trabajo donde aparezcan los detalles y el análisis del hallazgo, realizados por el auditor. 
</t>
    </r>
  </si>
  <si>
    <t>TIPOS DE CONCEPTOS, SUS PARAMETROS, CALIFICACIÓN Y CONCEPTO DEL PRINCIPIO EVALUADO</t>
  </si>
  <si>
    <t>CONCEPTOS</t>
  </si>
  <si>
    <t>INDICADORES A PARTIR DE INFORMES DE EJECUCIÓN PRESUPUESTAL PARA CONCEPTO PRESUPUESTAL</t>
  </si>
  <si>
    <t>HALLAZGOS PARA CONCEPTO PRESUPUESTAL</t>
  </si>
  <si>
    <t xml:space="preserve">RESERVAS PRESUPUESTALES CONSTITUIDAS </t>
  </si>
  <si>
    <t>FGFGF</t>
  </si>
  <si>
    <t>Incorrección en el Informe de Ejecución de Gastos de Comercialización y Producción</t>
  </si>
  <si>
    <t>Imposibilidades en el Informe de Ejecución de Gastos  de Comercialización y Producción</t>
  </si>
  <si>
    <t>Materiales y suministros</t>
  </si>
  <si>
    <t>AUDITORIA FINANCIERA DE GESTIÓN Y RESULTADOS</t>
  </si>
  <si>
    <t>Si</t>
  </si>
  <si>
    <t>No</t>
  </si>
  <si>
    <t>Informe de Ejecución de Ingresos</t>
  </si>
  <si>
    <t>Informe de Ejecución de Gastos / Costos y Gastos</t>
  </si>
  <si>
    <t>EJECUCIÓN DE GASTOS</t>
  </si>
  <si>
    <t>No.</t>
  </si>
  <si>
    <t>O2 GASTOS</t>
  </si>
  <si>
    <t>Ejecución de Ingresos</t>
  </si>
  <si>
    <t>Ejecución de Gastos / Costos y Gastos</t>
  </si>
  <si>
    <t>Concepto consolidado Presupuestal</t>
  </si>
  <si>
    <t>Tipo de meta</t>
  </si>
  <si>
    <t>Resultado %</t>
  </si>
  <si>
    <t>POAI (Plan Operativo Anual de Inversiones)</t>
  </si>
  <si>
    <t>CALIFICACIÓN:</t>
  </si>
  <si>
    <t>Calificación POAI</t>
  </si>
  <si>
    <t>Calificación Ejecución</t>
  </si>
  <si>
    <t>Calificación Tiempos</t>
  </si>
  <si>
    <t>Calificación Giros</t>
  </si>
  <si>
    <t>PRINCIPIO:</t>
  </si>
  <si>
    <t>CONCEPTO:</t>
  </si>
  <si>
    <t>Proyectos Ambientales</t>
  </si>
  <si>
    <t>Calificación Proyectos Ambientales:</t>
  </si>
  <si>
    <t>Principio:</t>
  </si>
  <si>
    <t>Tipo de Meta</t>
  </si>
  <si>
    <t>EFICACIA %</t>
  </si>
  <si>
    <t>EFICIENCIA %</t>
  </si>
  <si>
    <t>Calificación:</t>
  </si>
  <si>
    <t>Concepto:</t>
  </si>
  <si>
    <t>POAI</t>
  </si>
  <si>
    <t>Tiempos</t>
  </si>
  <si>
    <t>Ejecución</t>
  </si>
  <si>
    <t>Giros</t>
  </si>
  <si>
    <t>Proyectos Ambientales:</t>
  </si>
  <si>
    <t>Suma</t>
  </si>
  <si>
    <t>Constante</t>
  </si>
  <si>
    <t>Creciente</t>
  </si>
  <si>
    <t>Decreciente</t>
  </si>
  <si>
    <t>Decreciente Anual</t>
  </si>
  <si>
    <t>CALIFICACIÓN PROCESO PLANES Y PROYECTOS</t>
  </si>
  <si>
    <t>TABLA DE CALIFICACION DEL PROCESO PLAN ESTRATÉGICO</t>
  </si>
  <si>
    <t>JUSTIFICACIÓN PARA SELECCIONAR  EL PORCENTAJE</t>
  </si>
  <si>
    <t>PDVCF:</t>
  </si>
  <si>
    <t>PDVCF</t>
  </si>
  <si>
    <t>Vigencia PDVCF:</t>
  </si>
  <si>
    <t>Periodo PDVCF:</t>
  </si>
  <si>
    <t>Código formato: PVCGF-04-09
Versión: 2.0</t>
  </si>
  <si>
    <t>Instrumento para la calificación de la gestión fiscal
Materialidad presupuetal</t>
  </si>
  <si>
    <t>Instrumento para la calificación de la gestión fiscal
Procesos presupuesto de ingresos y de gastos o costos y gastos
Indicadores y hallazgos para concepto de la gestión presupuestal</t>
  </si>
  <si>
    <t>Instrumento para la calificación de la gestión fiscal
Planes y Proyectos</t>
  </si>
  <si>
    <t>Código formato: PVCGF-04-09</t>
  </si>
  <si>
    <t xml:space="preserve">Instrumento para la calificación de la gestión fiscal
Matriz plan estratégico </t>
  </si>
  <si>
    <t>Versión: 2.0</t>
  </si>
  <si>
    <t>Instrumento para la calificación de la gestión fiscal
Procesos presupuesto de ingresos y de gastos o costos y gastos
Prueba Analítica</t>
  </si>
  <si>
    <t>Instrumento para la calificación de la gestión fiscal
Proceso Desempeño Financiero
Análisis de Hallazgo para Concepto de Desempeño Financiero</t>
  </si>
  <si>
    <t>Instrumento para la calificación de la gestión fiscal
Materialidad Proceso Estados Financieros 
Análisis Hallazgos para Opinión</t>
  </si>
  <si>
    <t xml:space="preserve">Instrumento para la calificación de la gestión fiscal
Materialidad Proceso Estados Financieros </t>
  </si>
  <si>
    <t>Código formato
PVCGF-04-09</t>
  </si>
  <si>
    <t>Instrumento para la calificación de la gestión fiscal
Analítica Estado de Resultados - Proceso Estados Financieros 
Prueba Analítica</t>
  </si>
  <si>
    <t>Instrumento para la calificación de la gestión fiscal
Materialidad Proceso Estados Financieros 
Prueba Analítica</t>
  </si>
  <si>
    <t>Código formato:
PVCGF-04-09</t>
  </si>
  <si>
    <r>
      <rPr>
        <b/>
        <sz val="11"/>
        <color rgb="FFFF0000"/>
        <rFont val="Calibri"/>
        <family val="2"/>
        <scheme val="minor"/>
      </rPr>
      <t xml:space="preserve">Notas aclaratorias: </t>
    </r>
    <r>
      <rPr>
        <b/>
        <sz val="11"/>
        <rFont val="Calibri"/>
        <family val="2"/>
        <scheme val="minor"/>
      </rPr>
      <t xml:space="preserve">
1. En caso de que al Sujeto de Control Fiscal no se le haya practicado Auditoría Regular (AR) o Financiera Gestión y Resultados (AFGR) en el año inmediatamente anterior, se debe tomar la información de la última vigencia auditada.
2. Si al Sujeto de Control nunca se le ha efectuado auditoría (AR o AFGR) alguna, entonces seleccione la frase: “No Hay" de la lista desplegable.
3. En lo que respecta al Concepto Auditoría y a la Calificación Control Interno auditoría anterior, así como el Diseño del Control y Riesgo Residual de la auditoría actual estos hace referencia únicamente al Proceso Presupuestal.
</t>
    </r>
  </si>
  <si>
    <t>No Hay</t>
  </si>
  <si>
    <t>RESULTADOS AUDITORIA VIGENCIA ANTERIOR</t>
  </si>
  <si>
    <t>DATOS VIGENCIA AUDITORIA ACTUAL</t>
  </si>
  <si>
    <r>
      <t xml:space="preserve">Notas aclaratorias: 
</t>
    </r>
    <r>
      <rPr>
        <b/>
        <sz val="11"/>
        <color rgb="FFFF0000"/>
        <rFont val="Arial"/>
        <family val="2"/>
      </rPr>
      <t xml:space="preserve">1. En caso de que al Sujeto de Control Fiscal no se le haya practicado Auditoría Regular (AR) o Financiera Gestión y Resultados (AFGR) en el año inmediatamente anterior, se debe tomar la información de la última </t>
    </r>
    <r>
      <rPr>
        <b/>
        <u/>
        <sz val="11"/>
        <color rgb="FFFF0000"/>
        <rFont val="Arial"/>
        <family val="2"/>
      </rPr>
      <t>vigencia</t>
    </r>
    <r>
      <rPr>
        <b/>
        <sz val="11"/>
        <color rgb="FFFF0000"/>
        <rFont val="Arial"/>
        <family val="2"/>
      </rPr>
      <t xml:space="preserve"> auditada.
2. Si al Sujeto de Control nunca se le ha efectuado auditoría (AR o AFGR) alguna, entonces seleccione la frase: “</t>
    </r>
    <r>
      <rPr>
        <b/>
        <i/>
        <sz val="11"/>
        <color rgb="FFFF0000"/>
        <rFont val="Arial"/>
        <family val="2"/>
      </rPr>
      <t>No Hay</t>
    </r>
    <r>
      <rPr>
        <b/>
        <sz val="11"/>
        <color rgb="FFFF0000"/>
        <rFont val="Arial"/>
        <family val="2"/>
      </rPr>
      <t>" de la lista desplegable.</t>
    </r>
    <r>
      <rPr>
        <b/>
        <sz val="11"/>
        <rFont val="Arial"/>
        <family val="2"/>
      </rPr>
      <t xml:space="preserve">
</t>
    </r>
  </si>
  <si>
    <t>Calificación Control Interno Contable - Proceso Estados Financieros auditoría anterior</t>
  </si>
  <si>
    <t>Riesgo Residual o Combinado - Proceso Estados Financieros auditoría actual</t>
  </si>
  <si>
    <t>NIVEL 1 
Entre 1 y 7 Puntos</t>
  </si>
  <si>
    <t>AYUDAS DE ANTECEDENTES PARA SELECCIONAR UN PORCENTAJE</t>
  </si>
  <si>
    <t>CALIFICACIÓN POR PROCESO/
MACROPROCESO</t>
  </si>
  <si>
    <t>OPINION ESTADOS FINANCIEROS</t>
  </si>
  <si>
    <t>CONCEPTO  GESTIÓN GASTO PÚBLICO</t>
  </si>
  <si>
    <t>CONCEPTO PRESUPUESTAL DE GASTOS/COSTOS Y GASTOS</t>
  </si>
  <si>
    <t>CONCEPTO PRESUPUESTAL DE INGRESOS</t>
  </si>
  <si>
    <t>CONCEPTO GESTIÓN PRESUPUESTAL (CONSOLIDADA)</t>
  </si>
  <si>
    <t>CONCEPTO GESTIÓN Y RESULTADOS (CONSOLIDADA)</t>
  </si>
  <si>
    <t>TOTAL MACROPROCESO GESTIÓN PRESUPUESTAL Y RESULTADOS</t>
  </si>
  <si>
    <t>Base 100%</t>
  </si>
  <si>
    <t>Resultado</t>
  </si>
  <si>
    <t>INEXISTENTE</t>
  </si>
  <si>
    <t>0,01% - 24,99%</t>
  </si>
  <si>
    <t>INEFICIENTE</t>
  </si>
  <si>
    <t>25% - 49,99%</t>
  </si>
  <si>
    <t>50% - 74,99%</t>
  </si>
  <si>
    <t>CON DEFICIENCIAS</t>
  </si>
  <si>
    <t>75% - 100%</t>
  </si>
  <si>
    <t>EFICIENTE</t>
  </si>
  <si>
    <t>Calificacion_eficiencia</t>
  </si>
  <si>
    <t>Mínimo</t>
  </si>
  <si>
    <t>Máximo</t>
  </si>
  <si>
    <t>Cuando no existen controles</t>
  </si>
  <si>
    <t>Cuando no existe por lo menos un control</t>
  </si>
  <si>
    <t>Cuando la calificación sea mayor que 1 y menor a 2</t>
  </si>
  <si>
    <t>Cuando la calificación sea mayor que 2 y menor o igual que 2,5</t>
  </si>
  <si>
    <t>Cuando la calificación mayor que 2,5</t>
  </si>
  <si>
    <t xml:space="preserve">
OPINION/CONCEPTOS</t>
  </si>
  <si>
    <t>CONCEPTO DE EFICACIA Y EFECTIVIDAD</t>
  </si>
  <si>
    <t>PLAN DE MEJORAMIENTO</t>
  </si>
  <si>
    <t>MONTO TOTAL UNIDAD DE ANÁLISIS</t>
  </si>
  <si>
    <t>RIESGO DE CONTROL FISCAL DETECTADO</t>
  </si>
  <si>
    <t>TAMAÑO MÍNIMO DE LA MUESTRA</t>
  </si>
  <si>
    <t>CUMPLE LA MUESTRA</t>
  </si>
  <si>
    <t xml:space="preserve">VALOR PAGADO </t>
  </si>
  <si>
    <t>VALOR SUSCRITO</t>
  </si>
  <si>
    <t>VALOR PAGADO</t>
  </si>
  <si>
    <t>% PARTICIPACIÓN</t>
  </si>
  <si>
    <t xml:space="preserve">VALOR AUDITADO </t>
  </si>
  <si>
    <t xml:space="preserve">CUANTÍA DEL HALLAZGO FISCAL </t>
  </si>
  <si>
    <t>Fiducia 1</t>
  </si>
  <si>
    <t>Fiducia 12</t>
  </si>
  <si>
    <t>Del 01-12-2022 al 19-08-2024</t>
  </si>
  <si>
    <t>jkjdkfjkfjkdjjfkj</t>
  </si>
  <si>
    <t>kkkk</t>
  </si>
  <si>
    <t>jjj</t>
  </si>
  <si>
    <t>kkk</t>
  </si>
  <si>
    <r>
      <t xml:space="preserve">MATERIALIDAD </t>
    </r>
    <r>
      <rPr>
        <b/>
        <sz val="12"/>
        <color indexed="8"/>
        <rFont val="Arial"/>
        <family val="2"/>
      </rPr>
      <t>PARA CONCEPTO GASTO PÚBLICO</t>
    </r>
  </si>
  <si>
    <t>Presupuesto POAI para la vigencia</t>
  </si>
  <si>
    <t>Presupuesto Disponible</t>
  </si>
  <si>
    <t>Instrumento para la calificación de la gestión fiscal
Proceso de Gasto Público
Pruebas Analíticas</t>
  </si>
  <si>
    <t>Código formato: PVCGF-04-09    
                                                    Versión: 2.0</t>
  </si>
  <si>
    <t>Instrumento para la calificación de la gestión fiscal
Proceso de Gasto Público
Materialidad</t>
  </si>
  <si>
    <t>Código formato: PVCGF-04-09     
                                                                                   Versión: 2.0</t>
  </si>
  <si>
    <t>Instrumento para la calificación de la gestión fiscal
Proceso de gasto público
Hoja de calificación</t>
  </si>
  <si>
    <t>Código formato: PVCGF-04-09        
                                                                         Versión: 2.0</t>
  </si>
  <si>
    <t>Auditoría Financiera, de Gestión y Resultados</t>
  </si>
  <si>
    <t>O1201 Disposición de activos</t>
  </si>
</sst>
</file>

<file path=xl/styles.xml><?xml version="1.0" encoding="utf-8"?>
<styleSheet xmlns="http://schemas.openxmlformats.org/spreadsheetml/2006/main" xmlns:mc="http://schemas.openxmlformats.org/markup-compatibility/2006" xmlns:x14ac="http://schemas.microsoft.com/office/spreadsheetml/2009/9/ac" mc:Ignorable="x14ac">
  <numFmts count="29">
    <numFmt numFmtId="5" formatCode="&quot;$&quot;\ #,##0;\-&quot;$&quot;\ #,##0"/>
    <numFmt numFmtId="6" formatCode="&quot;$&quot;\ #,##0;[Red]\-&quot;$&quot;\ #,##0"/>
    <numFmt numFmtId="7" formatCode="&quot;$&quot;\ #,##0.00;\-&quot;$&quot;\ #,##0.00"/>
    <numFmt numFmtId="8" formatCode="&quot;$&quot;\ #,##0.00;[Red]\-&quot;$&quot;\ #,##0.00"/>
    <numFmt numFmtId="41" formatCode="_-* #,##0_-;\-* #,##0_-;_-* &quot;-&quot;_-;_-@_-"/>
    <numFmt numFmtId="44" formatCode="_-&quot;$&quot;\ * #,##0.00_-;\-&quot;$&quot;\ * #,##0.00_-;_-&quot;$&quot;\ * &quot;-&quot;??_-;_-@_-"/>
    <numFmt numFmtId="43" formatCode="_-* #,##0.00_-;\-* #,##0.00_-;_-* &quot;-&quot;??_-;_-@_-"/>
    <numFmt numFmtId="164" formatCode="_-&quot;$&quot;* #,##0.00_-;\-&quot;$&quot;* #,##0.00_-;_-&quot;$&quot;* &quot;-&quot;??_-;_-@_-"/>
    <numFmt numFmtId="165" formatCode="_(&quot;$&quot;* #,##0.00_);_(&quot;$&quot;* \(#,##0.00\);_(&quot;$&quot;* &quot;-&quot;??_);_(@_)"/>
    <numFmt numFmtId="166" formatCode="_(* #,##0.00_);_(* \(#,##0.00\);_(* &quot;-&quot;??_);_(@_)"/>
    <numFmt numFmtId="167" formatCode="_-* #,##0_-;\-* #,##0_-;_-* &quot;-&quot;??_-;_-@_-"/>
    <numFmt numFmtId="168" formatCode="_-[$$-240A]* #,##0.00_-;\-[$$-240A]* #,##0.00_-;_-[$$-240A]* &quot;-&quot;??_-;_-@_-"/>
    <numFmt numFmtId="169" formatCode="d/mm/yyyy;@"/>
    <numFmt numFmtId="170" formatCode="0.0%"/>
    <numFmt numFmtId="171" formatCode="&quot;$&quot;#,##0.00"/>
    <numFmt numFmtId="172" formatCode="0.000%"/>
    <numFmt numFmtId="173" formatCode="0.0"/>
    <numFmt numFmtId="174" formatCode="_(&quot;$&quot;* #,##0_);_(&quot;$&quot;* \(#,##0\);_(&quot;$&quot;* &quot;-&quot;??_);_(@_)"/>
    <numFmt numFmtId="175" formatCode="_-&quot;$&quot;* #,##0_-;\-&quot;$&quot;* #,##0_-;_-&quot;$&quot;* &quot;-&quot;??_-;_-@_-"/>
    <numFmt numFmtId="176" formatCode="&quot;$&quot;#,##0"/>
    <numFmt numFmtId="177" formatCode="_-&quot;$&quot;\ * #,##0_-;\-&quot;$&quot;\ * #,##0_-;_-&quot;$&quot;\ * &quot;-&quot;??_-;_-@_-"/>
    <numFmt numFmtId="178" formatCode="_(&quot;$&quot;\ * #,##0.00_);_(&quot;$&quot;\ * \(#,##0.00\);_(&quot;$&quot;\ * &quot;-&quot;??_);_(@_)"/>
    <numFmt numFmtId="179" formatCode="0;\-0;;@"/>
    <numFmt numFmtId="180" formatCode="_-* #,##0.0_-;\-* #,##0.0_-;_-* &quot;-&quot;??_-;_-@_-"/>
    <numFmt numFmtId="181" formatCode="&quot;$&quot;\ #,##0.00"/>
    <numFmt numFmtId="182" formatCode="0.000000"/>
    <numFmt numFmtId="183" formatCode="_-* #,##0.000000_-;\-* #,##0.000000_-;_-* &quot;-&quot;_-;_-@_-"/>
    <numFmt numFmtId="184" formatCode="#,##0.0"/>
    <numFmt numFmtId="185" formatCode="_(* #,##0_);_(* \(#,##0\);_(* &quot;-&quot;??_);_(@_)"/>
  </numFmts>
  <fonts count="185" x14ac:knownFonts="1">
    <font>
      <sz val="11"/>
      <color theme="1"/>
      <name val="Calibri"/>
      <family val="2"/>
      <scheme val="minor"/>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1"/>
      <color theme="1"/>
      <name val="Calibri"/>
      <family val="2"/>
      <scheme val="minor"/>
    </font>
    <font>
      <sz val="11"/>
      <color rgb="FF9C0006"/>
      <name val="Calibri"/>
      <family val="2"/>
      <scheme val="minor"/>
    </font>
    <font>
      <sz val="11"/>
      <color indexed="8"/>
      <name val="Calibri"/>
      <family val="2"/>
    </font>
    <font>
      <sz val="10"/>
      <name val="Arial"/>
      <family val="2"/>
    </font>
    <font>
      <b/>
      <sz val="12"/>
      <name val="Arial"/>
      <family val="2"/>
    </font>
    <font>
      <b/>
      <sz val="14"/>
      <name val="Arial"/>
      <family val="2"/>
    </font>
    <font>
      <b/>
      <sz val="9"/>
      <name val="Arial"/>
      <family val="2"/>
    </font>
    <font>
      <sz val="12"/>
      <name val="Arial"/>
      <family val="2"/>
    </font>
    <font>
      <sz val="11"/>
      <color theme="1"/>
      <name val="Arial"/>
      <family val="2"/>
    </font>
    <font>
      <b/>
      <sz val="9"/>
      <color indexed="81"/>
      <name val="Tahoma"/>
      <family val="2"/>
    </font>
    <font>
      <sz val="9"/>
      <color indexed="81"/>
      <name val="Tahoma"/>
      <family val="2"/>
    </font>
    <font>
      <b/>
      <sz val="18"/>
      <name val="Arial"/>
      <family val="2"/>
    </font>
    <font>
      <sz val="11"/>
      <color theme="0"/>
      <name val="Calibri"/>
      <family val="2"/>
      <scheme val="minor"/>
    </font>
    <font>
      <b/>
      <sz val="12"/>
      <color theme="1"/>
      <name val="Arial"/>
      <family val="2"/>
    </font>
    <font>
      <sz val="12"/>
      <color theme="1"/>
      <name val="Arial"/>
      <family val="2"/>
    </font>
    <font>
      <sz val="14"/>
      <color theme="1"/>
      <name val="Arial"/>
      <family val="2"/>
    </font>
    <font>
      <b/>
      <sz val="14"/>
      <color theme="1"/>
      <name val="Arial"/>
      <family val="2"/>
    </font>
    <font>
      <b/>
      <sz val="12"/>
      <color theme="0"/>
      <name val="Arial"/>
      <family val="2"/>
    </font>
    <font>
      <b/>
      <sz val="18"/>
      <color theme="1"/>
      <name val="Arial"/>
      <family val="2"/>
    </font>
    <font>
      <b/>
      <sz val="11"/>
      <color theme="1"/>
      <name val="Arial"/>
      <family val="2"/>
    </font>
    <font>
      <u/>
      <sz val="11"/>
      <color theme="10"/>
      <name val="Calibri"/>
      <family val="2"/>
      <scheme val="minor"/>
    </font>
    <font>
      <sz val="11"/>
      <name val="Arial"/>
      <family val="2"/>
    </font>
    <font>
      <b/>
      <sz val="11"/>
      <name val="Arial"/>
      <family val="2"/>
    </font>
    <font>
      <b/>
      <sz val="14"/>
      <color indexed="8"/>
      <name val="Arial"/>
      <family val="2"/>
    </font>
    <font>
      <b/>
      <sz val="10"/>
      <color rgb="FF000000"/>
      <name val="Arial"/>
      <family val="2"/>
    </font>
    <font>
      <b/>
      <sz val="9"/>
      <color rgb="FF000000"/>
      <name val="Arial"/>
      <family val="2"/>
    </font>
    <font>
      <sz val="9"/>
      <color rgb="FF000000"/>
      <name val="Arial"/>
      <family val="2"/>
    </font>
    <font>
      <sz val="10"/>
      <color rgb="FF000000"/>
      <name val="Arial"/>
      <family val="2"/>
    </font>
    <font>
      <sz val="8"/>
      <color rgb="FF000000"/>
      <name val="Segoe UI"/>
      <family val="2"/>
    </font>
    <font>
      <b/>
      <sz val="10"/>
      <color theme="1"/>
      <name val="Arial"/>
      <family val="2"/>
    </font>
    <font>
      <sz val="9"/>
      <color theme="1"/>
      <name val="Arial"/>
      <family val="2"/>
    </font>
    <font>
      <b/>
      <sz val="11"/>
      <color rgb="FF000000"/>
      <name val="Arial"/>
      <family val="2"/>
    </font>
    <font>
      <b/>
      <sz val="11"/>
      <color theme="1" tint="0.249977111117893"/>
      <name val="Arial"/>
      <family val="2"/>
    </font>
    <font>
      <b/>
      <u/>
      <sz val="11"/>
      <color theme="1"/>
      <name val="Arial"/>
      <family val="2"/>
    </font>
    <font>
      <sz val="11"/>
      <color rgb="FF000000"/>
      <name val="Arial"/>
      <family val="2"/>
    </font>
    <font>
      <sz val="11"/>
      <color theme="0"/>
      <name val="Arial"/>
      <family val="2"/>
    </font>
    <font>
      <sz val="11"/>
      <color theme="0" tint="-0.14999847407452621"/>
      <name val="Arial"/>
      <family val="2"/>
    </font>
    <font>
      <b/>
      <sz val="16"/>
      <name val="Arial"/>
      <family val="2"/>
    </font>
    <font>
      <sz val="9"/>
      <color theme="1" tint="0.14999847407452621"/>
      <name val="Arial"/>
      <family val="2"/>
    </font>
    <font>
      <b/>
      <sz val="9"/>
      <color theme="1"/>
      <name val="Arial"/>
      <family val="2"/>
    </font>
    <font>
      <b/>
      <sz val="22"/>
      <name val="Arial"/>
      <family val="2"/>
    </font>
    <font>
      <sz val="10"/>
      <color theme="1"/>
      <name val="Arial"/>
      <family val="2"/>
    </font>
    <font>
      <b/>
      <sz val="26"/>
      <name val="Arial"/>
      <family val="2"/>
    </font>
    <font>
      <sz val="14"/>
      <name val="Arial"/>
      <family val="2"/>
    </font>
    <font>
      <sz val="8"/>
      <name val="Arial"/>
      <family val="2"/>
    </font>
    <font>
      <b/>
      <sz val="11"/>
      <color theme="0"/>
      <name val="Arial"/>
      <family val="2"/>
    </font>
    <font>
      <sz val="10"/>
      <color theme="0"/>
      <name val="Arial"/>
      <family val="2"/>
    </font>
    <font>
      <sz val="10"/>
      <color indexed="8"/>
      <name val="Arial"/>
      <family val="2"/>
    </font>
    <font>
      <sz val="10"/>
      <color rgb="FFFF0000"/>
      <name val="Arial"/>
      <family val="2"/>
    </font>
    <font>
      <b/>
      <sz val="11"/>
      <color theme="0" tint="-4.9989318521683403E-2"/>
      <name val="Arial"/>
      <family val="2"/>
    </font>
    <font>
      <sz val="11"/>
      <color theme="0" tint="-0.499984740745262"/>
      <name val="Arial"/>
      <family val="2"/>
    </font>
    <font>
      <sz val="11"/>
      <color rgb="FF9C6500"/>
      <name val="Calibri"/>
      <family val="2"/>
      <scheme val="minor"/>
    </font>
    <font>
      <b/>
      <sz val="11"/>
      <color theme="0"/>
      <name val="Calibri"/>
      <family val="2"/>
      <scheme val="minor"/>
    </font>
    <font>
      <b/>
      <sz val="11"/>
      <color theme="1"/>
      <name val="Calibri"/>
      <family val="2"/>
      <scheme val="minor"/>
    </font>
    <font>
      <sz val="12"/>
      <color rgb="FFFF0000"/>
      <name val="Arial"/>
      <family val="2"/>
    </font>
    <font>
      <b/>
      <sz val="11"/>
      <name val="Calibri"/>
      <family val="2"/>
    </font>
    <font>
      <sz val="10"/>
      <color theme="1"/>
      <name val="Calibri"/>
      <family val="2"/>
      <scheme val="minor"/>
    </font>
    <font>
      <sz val="11"/>
      <color rgb="FFFF0000"/>
      <name val="Arial"/>
      <family val="2"/>
    </font>
    <font>
      <sz val="11"/>
      <name val="Calibri"/>
      <family val="2"/>
    </font>
    <font>
      <b/>
      <sz val="10"/>
      <color indexed="8"/>
      <name val="Arial"/>
      <family val="2"/>
    </font>
    <font>
      <sz val="16"/>
      <color theme="1"/>
      <name val="Calibri"/>
      <family val="2"/>
      <scheme val="minor"/>
    </font>
    <font>
      <b/>
      <sz val="9"/>
      <color rgb="FF000000"/>
      <name val="Tahoma"/>
      <family val="2"/>
    </font>
    <font>
      <sz val="9"/>
      <color rgb="FF000000"/>
      <name val="Tahoma"/>
      <family val="2"/>
    </font>
    <font>
      <sz val="8"/>
      <color theme="1"/>
      <name val="Arial"/>
      <family val="2"/>
    </font>
    <font>
      <sz val="6"/>
      <color rgb="FF000000"/>
      <name val="Arial"/>
      <family val="2"/>
    </font>
    <font>
      <sz val="11"/>
      <name val="Calibri"/>
      <family val="2"/>
      <scheme val="minor"/>
    </font>
    <font>
      <b/>
      <sz val="12"/>
      <name val="Calibri"/>
      <family val="2"/>
      <scheme val="minor"/>
    </font>
    <font>
      <b/>
      <sz val="12"/>
      <color indexed="8"/>
      <name val="Arial"/>
      <family val="2"/>
    </font>
    <font>
      <b/>
      <sz val="10"/>
      <name val="Arial"/>
      <family val="2"/>
    </font>
    <font>
      <sz val="10"/>
      <color indexed="10"/>
      <name val="Arial"/>
      <family val="2"/>
    </font>
    <font>
      <u/>
      <sz val="10"/>
      <color theme="1"/>
      <name val="Arial"/>
      <family val="2"/>
    </font>
    <font>
      <b/>
      <u/>
      <sz val="10"/>
      <color theme="1"/>
      <name val="Arial"/>
      <family val="2"/>
    </font>
    <font>
      <b/>
      <sz val="12"/>
      <color theme="1"/>
      <name val="Calibri"/>
      <family val="2"/>
      <scheme val="minor"/>
    </font>
    <font>
      <sz val="12"/>
      <color rgb="FF000000"/>
      <name val="Calibri"/>
      <family val="2"/>
      <scheme val="minor"/>
    </font>
    <font>
      <b/>
      <sz val="9"/>
      <color rgb="FF000000"/>
      <name val="Calibri"/>
      <family val="2"/>
      <scheme val="minor"/>
    </font>
    <font>
      <b/>
      <sz val="14"/>
      <color theme="1"/>
      <name val="Calibri"/>
      <family val="2"/>
      <scheme val="minor"/>
    </font>
    <font>
      <b/>
      <sz val="18"/>
      <color theme="1"/>
      <name val="Calibri"/>
      <family val="2"/>
      <scheme val="minor"/>
    </font>
    <font>
      <b/>
      <sz val="9"/>
      <color theme="0"/>
      <name val="Calibri"/>
      <family val="2"/>
      <scheme val="minor"/>
    </font>
    <font>
      <b/>
      <sz val="10"/>
      <color theme="1"/>
      <name val="Calibri"/>
      <family val="2"/>
      <scheme val="minor"/>
    </font>
    <font>
      <b/>
      <sz val="12"/>
      <color indexed="8"/>
      <name val="Calibri"/>
      <family val="2"/>
      <scheme val="minor"/>
    </font>
    <font>
      <sz val="9"/>
      <color theme="0" tint="-0.34998626667073579"/>
      <name val="Calibri"/>
      <family val="2"/>
      <scheme val="minor"/>
    </font>
    <font>
      <b/>
      <sz val="9"/>
      <name val="Calibri"/>
      <family val="2"/>
      <scheme val="minor"/>
    </font>
    <font>
      <b/>
      <sz val="9"/>
      <color theme="1"/>
      <name val="Calibri"/>
      <family val="2"/>
      <scheme val="minor"/>
    </font>
    <font>
      <sz val="9"/>
      <color theme="1"/>
      <name val="Calibri"/>
      <family val="2"/>
      <scheme val="minor"/>
    </font>
    <font>
      <b/>
      <sz val="8"/>
      <name val="Calibri"/>
      <family val="2"/>
      <scheme val="minor"/>
    </font>
    <font>
      <b/>
      <u/>
      <sz val="10"/>
      <color theme="1"/>
      <name val="Calibri"/>
      <family val="2"/>
      <scheme val="minor"/>
    </font>
    <font>
      <b/>
      <sz val="10"/>
      <name val="Calibri"/>
      <family val="2"/>
      <scheme val="minor"/>
    </font>
    <font>
      <b/>
      <u/>
      <sz val="11"/>
      <color theme="1"/>
      <name val="Calibri"/>
      <family val="2"/>
      <scheme val="minor"/>
    </font>
    <font>
      <b/>
      <sz val="11"/>
      <color rgb="FFFF0000"/>
      <name val="Calibri"/>
      <family val="2"/>
      <scheme val="minor"/>
    </font>
    <font>
      <sz val="11"/>
      <color rgb="FF000000"/>
      <name val="Calibri"/>
      <family val="2"/>
      <scheme val="minor"/>
    </font>
    <font>
      <u/>
      <sz val="11"/>
      <color theme="1"/>
      <name val="Calibri"/>
      <family val="2"/>
      <scheme val="minor"/>
    </font>
    <font>
      <sz val="11"/>
      <color indexed="8"/>
      <name val="Calibri"/>
      <family val="2"/>
      <scheme val="minor"/>
    </font>
    <font>
      <u/>
      <sz val="11"/>
      <color indexed="8"/>
      <name val="Calibri"/>
      <family val="2"/>
      <scheme val="minor"/>
    </font>
    <font>
      <b/>
      <sz val="7"/>
      <color theme="1"/>
      <name val="Calibri"/>
      <family val="2"/>
      <scheme val="minor"/>
    </font>
    <font>
      <sz val="11"/>
      <color indexed="81"/>
      <name val="Tahoma"/>
      <family val="2"/>
    </font>
    <font>
      <sz val="14"/>
      <color indexed="81"/>
      <name val="Tahoma"/>
      <family val="2"/>
    </font>
    <font>
      <b/>
      <sz val="11"/>
      <name val="Calibri"/>
      <family val="2"/>
      <scheme val="minor"/>
    </font>
    <font>
      <b/>
      <sz val="8"/>
      <color rgb="FF000000"/>
      <name val="Tahoma"/>
      <family val="2"/>
    </font>
    <font>
      <b/>
      <sz val="8"/>
      <color indexed="81"/>
      <name val="Tahoma"/>
      <family val="2"/>
    </font>
    <font>
      <sz val="8"/>
      <color indexed="81"/>
      <name val="Tahoma"/>
      <family val="2"/>
    </font>
    <font>
      <b/>
      <sz val="10"/>
      <color indexed="81"/>
      <name val="Tahoma"/>
      <family val="2"/>
    </font>
    <font>
      <sz val="10"/>
      <color rgb="FF000000"/>
      <name val="Tahoma"/>
      <family val="2"/>
    </font>
    <font>
      <sz val="10"/>
      <color indexed="81"/>
      <name val="Tahoma"/>
      <family val="2"/>
    </font>
    <font>
      <b/>
      <sz val="10"/>
      <color rgb="FF000000"/>
      <name val="Tahoma"/>
      <family val="2"/>
    </font>
    <font>
      <b/>
      <sz val="11"/>
      <color indexed="8"/>
      <name val="Arial"/>
      <family val="2"/>
    </font>
    <font>
      <sz val="11"/>
      <color theme="0" tint="-0.34998626667073579"/>
      <name val="Arial"/>
      <family val="2"/>
    </font>
    <font>
      <b/>
      <sz val="18"/>
      <color indexed="8"/>
      <name val="Arial"/>
      <family val="2"/>
    </font>
    <font>
      <i/>
      <sz val="12"/>
      <name val="Arial"/>
      <family val="2"/>
    </font>
    <font>
      <b/>
      <u/>
      <sz val="12"/>
      <color indexed="62"/>
      <name val="Arial"/>
      <family val="2"/>
    </font>
    <font>
      <b/>
      <sz val="11"/>
      <color rgb="FFFF0000"/>
      <name val="Arial"/>
      <family val="2"/>
    </font>
    <font>
      <sz val="8"/>
      <color indexed="8"/>
      <name val="Arial"/>
      <family val="2"/>
    </font>
    <font>
      <sz val="11"/>
      <color indexed="8"/>
      <name val="Arial"/>
      <family val="2"/>
    </font>
    <font>
      <u/>
      <sz val="11"/>
      <color indexed="12"/>
      <name val="Arial"/>
      <family val="2"/>
    </font>
    <font>
      <u/>
      <sz val="12"/>
      <color indexed="12"/>
      <name val="Arial"/>
      <family val="2"/>
    </font>
    <font>
      <u/>
      <sz val="11"/>
      <color indexed="10"/>
      <name val="Arial"/>
      <family val="2"/>
    </font>
    <font>
      <b/>
      <u/>
      <sz val="11"/>
      <color indexed="62"/>
      <name val="Arial"/>
      <family val="2"/>
    </font>
    <font>
      <sz val="11"/>
      <color indexed="12"/>
      <name val="Arial"/>
      <family val="2"/>
    </font>
    <font>
      <b/>
      <i/>
      <sz val="16"/>
      <name val="Arial"/>
      <family val="2"/>
    </font>
    <font>
      <sz val="9"/>
      <name val="Arial"/>
      <family val="2"/>
    </font>
    <font>
      <sz val="9"/>
      <color indexed="8"/>
      <name val="Arial"/>
      <family val="2"/>
    </font>
    <font>
      <sz val="12"/>
      <color rgb="FF000000"/>
      <name val="Arial"/>
      <family val="2"/>
    </font>
    <font>
      <b/>
      <u/>
      <sz val="12"/>
      <color theme="1"/>
      <name val="Arial"/>
      <family val="2"/>
    </font>
    <font>
      <b/>
      <sz val="9"/>
      <color indexed="8"/>
      <name val="Arial"/>
      <family val="2"/>
    </font>
    <font>
      <sz val="14"/>
      <color indexed="8"/>
      <name val="Arial"/>
      <family val="2"/>
    </font>
    <font>
      <b/>
      <u/>
      <sz val="14"/>
      <color indexed="8"/>
      <name val="Arial"/>
      <family val="2"/>
    </font>
    <font>
      <u/>
      <sz val="14"/>
      <color indexed="8"/>
      <name val="Arial"/>
      <family val="2"/>
    </font>
    <font>
      <b/>
      <sz val="8"/>
      <color rgb="FF000000"/>
      <name val="Arial"/>
      <family val="2"/>
    </font>
    <font>
      <sz val="12"/>
      <color indexed="8"/>
      <name val="Arial"/>
      <family val="2"/>
    </font>
    <font>
      <b/>
      <sz val="16"/>
      <color indexed="8"/>
      <name val="Arial"/>
      <family val="2"/>
    </font>
    <font>
      <b/>
      <i/>
      <sz val="16"/>
      <color rgb="FF000000"/>
      <name val="Arial"/>
      <family val="2"/>
    </font>
    <font>
      <b/>
      <i/>
      <sz val="14"/>
      <color rgb="FF000000"/>
      <name val="Arial"/>
      <family val="2"/>
    </font>
    <font>
      <b/>
      <sz val="18"/>
      <color theme="3"/>
      <name val="Arial"/>
      <family val="2"/>
    </font>
    <font>
      <b/>
      <sz val="16"/>
      <color theme="1"/>
      <name val="Arial"/>
      <family val="2"/>
    </font>
    <font>
      <b/>
      <i/>
      <sz val="16"/>
      <color theme="1"/>
      <name val="Arial"/>
      <family val="2"/>
    </font>
    <font>
      <b/>
      <sz val="22"/>
      <color indexed="8"/>
      <name val="Arial"/>
      <family val="2"/>
    </font>
    <font>
      <b/>
      <sz val="22"/>
      <color rgb="FFFF0000"/>
      <name val="Arial"/>
      <family val="2"/>
    </font>
    <font>
      <b/>
      <i/>
      <sz val="14"/>
      <name val="Arial"/>
      <family val="2"/>
    </font>
    <font>
      <sz val="12"/>
      <color indexed="63"/>
      <name val="Arial"/>
      <family val="2"/>
    </font>
    <font>
      <sz val="14"/>
      <color indexed="63"/>
      <name val="Arial"/>
      <family val="2"/>
    </font>
    <font>
      <sz val="14"/>
      <name val="Calibri"/>
      <family val="2"/>
      <scheme val="minor"/>
    </font>
    <font>
      <sz val="11"/>
      <color rgb="FF9C5700"/>
      <name val="Calibri"/>
      <family val="2"/>
      <scheme val="minor"/>
    </font>
    <font>
      <b/>
      <sz val="14"/>
      <color indexed="63"/>
      <name val="Arial"/>
      <family val="2"/>
    </font>
    <font>
      <sz val="18"/>
      <color theme="1"/>
      <name val="Calibri"/>
      <family val="2"/>
      <scheme val="minor"/>
    </font>
    <font>
      <b/>
      <sz val="12"/>
      <color indexed="8"/>
      <name val="Calibri"/>
      <family val="2"/>
    </font>
    <font>
      <b/>
      <sz val="16"/>
      <name val="Calibri"/>
      <family val="2"/>
    </font>
    <font>
      <i/>
      <sz val="10"/>
      <color indexed="8"/>
      <name val="Arial"/>
      <family val="2"/>
    </font>
    <font>
      <i/>
      <sz val="10"/>
      <name val="Arial"/>
      <family val="2"/>
    </font>
    <font>
      <i/>
      <sz val="11"/>
      <name val="Arial"/>
      <family val="2"/>
    </font>
    <font>
      <sz val="11"/>
      <color theme="1"/>
      <name val="Symbol"/>
      <family val="1"/>
      <charset val="2"/>
    </font>
    <font>
      <sz val="7"/>
      <color theme="1"/>
      <name val="Times New Roman"/>
      <family val="1"/>
    </font>
    <font>
      <sz val="11"/>
      <color rgb="FF000000"/>
      <name val="Symbol"/>
      <family val="1"/>
      <charset val="2"/>
    </font>
    <font>
      <b/>
      <sz val="22"/>
      <color theme="1"/>
      <name val="Arial"/>
      <family val="2"/>
    </font>
    <font>
      <b/>
      <u/>
      <sz val="14"/>
      <color theme="0"/>
      <name val="Arial"/>
      <family val="2"/>
    </font>
    <font>
      <b/>
      <u/>
      <sz val="18"/>
      <color theme="0"/>
      <name val="Arial"/>
      <family val="2"/>
    </font>
    <font>
      <b/>
      <sz val="14"/>
      <color theme="0"/>
      <name val="Arial"/>
      <family val="2"/>
    </font>
    <font>
      <b/>
      <sz val="16"/>
      <color theme="0" tint="-4.9989318521683403E-2"/>
      <name val="Arial"/>
      <family val="2"/>
    </font>
    <font>
      <b/>
      <sz val="12"/>
      <color theme="0" tint="-4.9989318521683403E-2"/>
      <name val="Arial"/>
      <family val="2"/>
    </font>
    <font>
      <b/>
      <sz val="14"/>
      <color theme="0" tint="-4.9989318521683403E-2"/>
      <name val="Arial"/>
      <family val="2"/>
    </font>
    <font>
      <b/>
      <sz val="16"/>
      <color theme="1"/>
      <name val="Calibri"/>
      <family val="2"/>
      <scheme val="minor"/>
    </font>
    <font>
      <sz val="16"/>
      <color theme="1"/>
      <name val="Arial"/>
      <family val="2"/>
    </font>
    <font>
      <sz val="16"/>
      <color indexed="8"/>
      <name val="Arial"/>
      <family val="2"/>
    </font>
    <font>
      <sz val="10"/>
      <color rgb="FF000000"/>
      <name val="Calibri"/>
      <family val="2"/>
    </font>
    <font>
      <sz val="12"/>
      <color rgb="FF006100"/>
      <name val="Arial"/>
      <family val="2"/>
    </font>
    <font>
      <b/>
      <sz val="11"/>
      <color rgb="FF000000"/>
      <name val="Calibri"/>
      <family val="2"/>
      <scheme val="minor"/>
    </font>
    <font>
      <sz val="11"/>
      <color rgb="FF006100"/>
      <name val="Arial"/>
      <family val="2"/>
    </font>
    <font>
      <sz val="11"/>
      <color rgb="FF9C0006"/>
      <name val="Arial"/>
      <family val="2"/>
    </font>
    <font>
      <sz val="11"/>
      <color rgb="FF9C6500"/>
      <name val="Arial"/>
      <family val="2"/>
    </font>
    <font>
      <b/>
      <sz val="17"/>
      <name val="Arial"/>
      <family val="2"/>
    </font>
    <font>
      <b/>
      <u/>
      <sz val="12"/>
      <color theme="1"/>
      <name val="Calibri"/>
      <family val="2"/>
      <scheme val="minor"/>
    </font>
    <font>
      <sz val="11"/>
      <color rgb="FFFF0000"/>
      <name val="Calibri"/>
      <family val="2"/>
      <scheme val="minor"/>
    </font>
    <font>
      <b/>
      <sz val="12"/>
      <color rgb="FFFF0000"/>
      <name val="Calibri"/>
      <family val="2"/>
      <scheme val="minor"/>
    </font>
    <font>
      <b/>
      <sz val="10"/>
      <color rgb="FFFF0000"/>
      <name val="Calibri"/>
      <family val="2"/>
      <scheme val="minor"/>
    </font>
    <font>
      <sz val="9"/>
      <color rgb="FFFF0000"/>
      <name val="Calibri"/>
      <family val="2"/>
      <scheme val="minor"/>
    </font>
    <font>
      <b/>
      <sz val="9"/>
      <color rgb="FFFF0000"/>
      <name val="Calibri"/>
      <family val="2"/>
      <scheme val="minor"/>
    </font>
    <font>
      <b/>
      <u/>
      <sz val="11"/>
      <color rgb="FFFF0000"/>
      <name val="Calibri"/>
      <family val="2"/>
      <scheme val="minor"/>
    </font>
    <font>
      <b/>
      <u/>
      <sz val="11"/>
      <color rgb="FFFF0000"/>
      <name val="Arial"/>
      <family val="2"/>
    </font>
    <font>
      <b/>
      <i/>
      <sz val="11"/>
      <color rgb="FFFF0000"/>
      <name val="Arial"/>
      <family val="2"/>
    </font>
    <font>
      <sz val="10"/>
      <name val="Calibri"/>
      <family val="2"/>
      <scheme val="minor"/>
    </font>
    <font>
      <b/>
      <sz val="20"/>
      <name val="Arial"/>
      <family val="2"/>
    </font>
  </fonts>
  <fills count="72">
    <fill>
      <patternFill patternType="none"/>
    </fill>
    <fill>
      <patternFill patternType="gray125"/>
    </fill>
    <fill>
      <patternFill patternType="solid">
        <fgColor rgb="FFFFC7CE"/>
      </patternFill>
    </fill>
    <fill>
      <patternFill patternType="solid">
        <fgColor indexed="26"/>
      </patternFill>
    </fill>
    <fill>
      <patternFill patternType="solid">
        <fgColor theme="8" tint="0.79998168889431442"/>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3" tint="0.79998168889431442"/>
        <bgColor indexed="64"/>
      </patternFill>
    </fill>
    <fill>
      <patternFill patternType="solid">
        <fgColor rgb="FFFFFFCC"/>
        <bgColor indexed="64"/>
      </patternFill>
    </fill>
    <fill>
      <patternFill patternType="solid">
        <fgColor theme="4" tint="0.39997558519241921"/>
        <bgColor indexed="64"/>
      </patternFill>
    </fill>
    <fill>
      <patternFill patternType="solid">
        <fgColor rgb="FF00FF00"/>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0"/>
        <bgColor indexed="64"/>
      </patternFill>
    </fill>
    <fill>
      <patternFill patternType="solid">
        <fgColor theme="7" tint="0.39997558519241921"/>
        <bgColor indexed="64"/>
      </patternFill>
    </fill>
    <fill>
      <patternFill patternType="solid">
        <fgColor theme="5" tint="0.39997558519241921"/>
        <bgColor indexed="64"/>
      </patternFill>
    </fill>
    <fill>
      <patternFill patternType="solid">
        <fgColor rgb="FFFFC000"/>
        <bgColor indexed="64"/>
      </patternFill>
    </fill>
    <fill>
      <patternFill patternType="solid">
        <fgColor rgb="FFD6DCE4"/>
        <bgColor indexed="64"/>
      </patternFill>
    </fill>
    <fill>
      <patternFill patternType="solid">
        <fgColor rgb="FFDDEBF7"/>
        <bgColor indexed="64"/>
      </patternFill>
    </fill>
    <fill>
      <patternFill patternType="solid">
        <fgColor rgb="FFFCE4D6"/>
        <bgColor indexed="64"/>
      </patternFill>
    </fill>
    <fill>
      <patternFill patternType="solid">
        <fgColor rgb="FFFFFF00"/>
        <bgColor indexed="64"/>
      </patternFill>
    </fill>
    <fill>
      <patternFill patternType="solid">
        <fgColor rgb="FFFF0000"/>
        <bgColor indexed="64"/>
      </patternFill>
    </fill>
    <fill>
      <patternFill patternType="solid">
        <fgColor theme="4"/>
      </patternFill>
    </fill>
    <fill>
      <patternFill patternType="solid">
        <fgColor theme="5"/>
      </patternFill>
    </fill>
    <fill>
      <patternFill patternType="solid">
        <fgColor theme="8" tint="0.39997558519241921"/>
        <bgColor indexed="64"/>
      </patternFill>
    </fill>
    <fill>
      <patternFill patternType="solid">
        <fgColor theme="4" tint="0.59999389629810485"/>
        <bgColor indexed="64"/>
      </patternFill>
    </fill>
    <fill>
      <patternFill patternType="solid">
        <fgColor rgb="FFD6BBEB"/>
        <bgColor indexed="64"/>
      </patternFill>
    </fill>
    <fill>
      <patternFill patternType="solid">
        <fgColor theme="4"/>
        <bgColor theme="4"/>
      </patternFill>
    </fill>
    <fill>
      <patternFill patternType="solid">
        <fgColor theme="4" tint="0.79998168889431442"/>
        <bgColor theme="4" tint="0.79998168889431442"/>
      </patternFill>
    </fill>
    <fill>
      <patternFill patternType="solid">
        <fgColor theme="0" tint="-4.9989318521683403E-2"/>
        <bgColor indexed="64"/>
      </patternFill>
    </fill>
    <fill>
      <patternFill patternType="solid">
        <fgColor rgb="FF92D050"/>
        <bgColor indexed="64"/>
      </patternFill>
    </fill>
    <fill>
      <patternFill patternType="solid">
        <fgColor theme="7" tint="0.79998168889431442"/>
        <bgColor theme="4" tint="0.79998168889431442"/>
      </patternFill>
    </fill>
    <fill>
      <patternFill patternType="solid">
        <fgColor theme="7" tint="0.79998168889431442"/>
        <bgColor theme="4"/>
      </patternFill>
    </fill>
    <fill>
      <patternFill patternType="solid">
        <fgColor theme="9" tint="0.59999389629810485"/>
        <bgColor indexed="64"/>
      </patternFill>
    </fill>
    <fill>
      <patternFill patternType="solid">
        <fgColor theme="5" tint="0.59999389629810485"/>
        <bgColor indexed="64"/>
      </patternFill>
    </fill>
    <fill>
      <patternFill patternType="solid">
        <fgColor theme="3" tint="0.59999389629810485"/>
        <bgColor indexed="64"/>
      </patternFill>
    </fill>
    <fill>
      <patternFill patternType="solid">
        <fgColor theme="0" tint="-0.14999847407452621"/>
        <bgColor indexed="64"/>
      </patternFill>
    </fill>
    <fill>
      <patternFill patternType="solid">
        <fgColor rgb="FFFFEB9C"/>
      </patternFill>
    </fill>
    <fill>
      <patternFill patternType="solid">
        <fgColor rgb="FFFFFFCC"/>
      </patternFill>
    </fill>
    <fill>
      <patternFill patternType="solid">
        <fgColor theme="5" tint="0.59999389629810485"/>
        <bgColor indexed="65"/>
      </patternFill>
    </fill>
    <fill>
      <patternFill patternType="solid">
        <fgColor theme="6" tint="0.39997558519241921"/>
        <bgColor indexed="65"/>
      </patternFill>
    </fill>
    <fill>
      <patternFill patternType="solid">
        <fgColor theme="7" tint="0.59999389629810485"/>
        <bgColor indexed="65"/>
      </patternFill>
    </fill>
    <fill>
      <patternFill patternType="solid">
        <fgColor theme="9"/>
        <bgColor indexed="64"/>
      </patternFill>
    </fill>
    <fill>
      <patternFill patternType="solid">
        <fgColor theme="5" tint="-0.249977111117893"/>
        <bgColor indexed="64"/>
      </patternFill>
    </fill>
    <fill>
      <patternFill patternType="solid">
        <fgColor rgb="FF00B0F0"/>
        <bgColor indexed="64"/>
      </patternFill>
    </fill>
    <fill>
      <patternFill patternType="solid">
        <fgColor rgb="FFA9D08E"/>
        <bgColor indexed="64"/>
      </patternFill>
    </fill>
    <fill>
      <patternFill patternType="solid">
        <fgColor theme="6" tint="0.59999389629810485"/>
        <bgColor indexed="64"/>
      </patternFill>
    </fill>
    <fill>
      <patternFill patternType="solid">
        <fgColor theme="0" tint="-0.249977111117893"/>
        <bgColor indexed="64"/>
      </patternFill>
    </fill>
    <fill>
      <patternFill patternType="solid">
        <fgColor rgb="FFFFC7CE"/>
        <bgColor indexed="64"/>
      </patternFill>
    </fill>
    <fill>
      <patternFill patternType="solid">
        <fgColor theme="2" tint="-9.9978637043366805E-2"/>
        <bgColor indexed="64"/>
      </patternFill>
    </fill>
    <fill>
      <patternFill patternType="solid">
        <fgColor theme="2"/>
        <bgColor indexed="64"/>
      </patternFill>
    </fill>
    <fill>
      <patternFill patternType="solid">
        <fgColor theme="6" tint="0.79998168889431442"/>
        <bgColor indexed="64"/>
      </patternFill>
    </fill>
    <fill>
      <patternFill patternType="solid">
        <fgColor rgb="FFFFFF00"/>
        <bgColor theme="4" tint="0.79998168889431442"/>
      </patternFill>
    </fill>
    <fill>
      <patternFill patternType="solid">
        <fgColor indexed="9"/>
        <bgColor indexed="64"/>
      </patternFill>
    </fill>
    <fill>
      <patternFill patternType="solid">
        <fgColor indexed="45"/>
        <bgColor indexed="64"/>
      </patternFill>
    </fill>
    <fill>
      <patternFill patternType="solid">
        <fgColor indexed="42"/>
        <bgColor indexed="64"/>
      </patternFill>
    </fill>
    <fill>
      <patternFill patternType="solid">
        <fgColor theme="6" tint="0.39997558519241921"/>
        <bgColor indexed="64"/>
      </patternFill>
    </fill>
    <fill>
      <patternFill patternType="solid">
        <fgColor rgb="FFFF99CC"/>
        <bgColor indexed="64"/>
      </patternFill>
    </fill>
    <fill>
      <patternFill patternType="solid">
        <fgColor rgb="FFFF99FF"/>
        <bgColor indexed="64"/>
      </patternFill>
    </fill>
    <fill>
      <patternFill patternType="solid">
        <fgColor theme="9" tint="0.39997558519241921"/>
        <bgColor indexed="64"/>
      </patternFill>
    </fill>
    <fill>
      <patternFill patternType="solid">
        <fgColor indexed="26"/>
        <bgColor indexed="64"/>
      </patternFill>
    </fill>
    <fill>
      <patternFill patternType="solid">
        <fgColor indexed="11"/>
        <bgColor indexed="64"/>
      </patternFill>
    </fill>
    <fill>
      <patternFill patternType="solid">
        <fgColor indexed="47"/>
        <bgColor indexed="64"/>
      </patternFill>
    </fill>
    <fill>
      <patternFill patternType="solid">
        <fgColor rgb="FFF2F2F2"/>
        <bgColor indexed="64"/>
      </patternFill>
    </fill>
    <fill>
      <patternFill patternType="solid">
        <fgColor rgb="FFC00000"/>
        <bgColor indexed="64"/>
      </patternFill>
    </fill>
    <fill>
      <patternFill patternType="solid">
        <fgColor rgb="FF00B050"/>
        <bgColor indexed="64"/>
      </patternFill>
    </fill>
    <fill>
      <patternFill patternType="solid">
        <fgColor rgb="FFC6EFCE"/>
      </patternFill>
    </fill>
    <fill>
      <patternFill patternType="solid">
        <fgColor rgb="FFCEE193"/>
        <bgColor indexed="64"/>
      </patternFill>
    </fill>
    <fill>
      <patternFill patternType="solid">
        <fgColor indexed="41"/>
        <bgColor indexed="64"/>
      </patternFill>
    </fill>
    <fill>
      <patternFill patternType="solid">
        <fgColor theme="7" tint="0.59999389629810485"/>
        <bgColor indexed="64"/>
      </patternFill>
    </fill>
    <fill>
      <patternFill patternType="solid">
        <fgColor rgb="FFF2DCDB"/>
        <bgColor indexed="64"/>
      </patternFill>
    </fill>
    <fill>
      <patternFill patternType="solid">
        <fgColor rgb="FFBFBFBF"/>
        <bgColor indexed="64"/>
      </patternFill>
    </fill>
  </fills>
  <borders count="172">
    <border>
      <left/>
      <right/>
      <top/>
      <bottom/>
      <diagonal/>
    </border>
    <border>
      <left style="thin">
        <color indexed="22"/>
      </left>
      <right style="thin">
        <color indexed="22"/>
      </right>
      <top style="thin">
        <color indexed="22"/>
      </top>
      <bottom style="thin">
        <color indexed="22"/>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diagonal/>
    </border>
    <border>
      <left style="medium">
        <color indexed="64"/>
      </left>
      <right style="thin">
        <color indexed="64"/>
      </right>
      <top style="thin">
        <color indexed="64"/>
      </top>
      <bottom style="medium">
        <color indexed="64"/>
      </bottom>
      <diagonal/>
    </border>
    <border>
      <left/>
      <right style="medium">
        <color indexed="64"/>
      </right>
      <top/>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top/>
      <bottom style="mediumDashed">
        <color indexed="64"/>
      </bottom>
      <diagonal/>
    </border>
    <border>
      <left/>
      <right/>
      <top style="mediumDashed">
        <color indexed="64"/>
      </top>
      <bottom style="mediumDashed">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thin">
        <color indexed="64"/>
      </top>
      <bottom/>
      <diagonal/>
    </border>
    <border>
      <left/>
      <right/>
      <top style="thin">
        <color theme="4" tint="0.39997558519241921"/>
      </top>
      <bottom style="thin">
        <color theme="4" tint="0.39997558519241921"/>
      </bottom>
      <diagonal/>
    </border>
    <border>
      <left/>
      <right/>
      <top/>
      <bottom style="thin">
        <color theme="4" tint="0.39997558519241921"/>
      </bottom>
      <diagonal/>
    </border>
    <border>
      <left/>
      <right/>
      <top style="thin">
        <color theme="4" tint="0.39997558519241921"/>
      </top>
      <bottom/>
      <diagonal/>
    </border>
    <border>
      <left style="thin">
        <color indexed="64"/>
      </left>
      <right/>
      <top/>
      <bottom/>
      <diagonal/>
    </border>
    <border>
      <left/>
      <right style="thin">
        <color indexed="64"/>
      </right>
      <top/>
      <bottom/>
      <diagonal/>
    </border>
    <border>
      <left style="thin">
        <color indexed="64"/>
      </left>
      <right style="thin">
        <color indexed="64"/>
      </right>
      <top/>
      <bottom style="medium">
        <color indexed="64"/>
      </bottom>
      <diagonal/>
    </border>
    <border>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bottom/>
      <diagonal/>
    </border>
    <border>
      <left/>
      <right style="medium">
        <color indexed="64"/>
      </right>
      <top/>
      <bottom style="double">
        <color indexed="64"/>
      </bottom>
      <diagonal/>
    </border>
    <border>
      <left style="double">
        <color indexed="64"/>
      </left>
      <right style="double">
        <color indexed="64"/>
      </right>
      <top/>
      <bottom style="double">
        <color indexed="64"/>
      </bottom>
      <diagonal/>
    </border>
    <border>
      <left style="double">
        <color indexed="64"/>
      </left>
      <right style="double">
        <color indexed="64"/>
      </right>
      <top style="double">
        <color indexed="64"/>
      </top>
      <bottom style="double">
        <color indexed="64"/>
      </bottom>
      <diagonal/>
    </border>
    <border>
      <left style="double">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double">
        <color indexed="64"/>
      </right>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double">
        <color indexed="64"/>
      </left>
      <right/>
      <top/>
      <bottom/>
      <diagonal/>
    </border>
    <border>
      <left style="thin">
        <color indexed="64"/>
      </left>
      <right style="thin">
        <color indexed="64"/>
      </right>
      <top/>
      <bottom style="double">
        <color indexed="64"/>
      </bottom>
      <diagonal/>
    </border>
    <border>
      <left style="thin">
        <color indexed="64"/>
      </left>
      <right style="double">
        <color indexed="64"/>
      </right>
      <top style="double">
        <color indexed="64"/>
      </top>
      <bottom style="thin">
        <color indexed="64"/>
      </bottom>
      <diagonal/>
    </border>
    <border>
      <left/>
      <right/>
      <top style="double">
        <color indexed="64"/>
      </top>
      <bottom style="double">
        <color indexed="64"/>
      </bottom>
      <diagonal/>
    </border>
    <border>
      <left style="double">
        <color indexed="64"/>
      </left>
      <right style="thin">
        <color indexed="64"/>
      </right>
      <top style="double">
        <color indexed="64"/>
      </top>
      <bottom style="double">
        <color indexed="64"/>
      </bottom>
      <diagonal/>
    </border>
    <border>
      <left/>
      <right/>
      <top/>
      <bottom style="double">
        <color indexed="64"/>
      </bottom>
      <diagonal/>
    </border>
    <border>
      <left style="double">
        <color indexed="64"/>
      </left>
      <right style="thin">
        <color indexed="64"/>
      </right>
      <top/>
      <bottom style="thin">
        <color indexed="64"/>
      </bottom>
      <diagonal/>
    </border>
    <border>
      <left style="double">
        <color indexed="64"/>
      </left>
      <right style="thin">
        <color indexed="64"/>
      </right>
      <top style="thin">
        <color indexed="64"/>
      </top>
      <bottom/>
      <diagonal/>
    </border>
    <border>
      <left/>
      <right style="double">
        <color indexed="64"/>
      </right>
      <top style="double">
        <color indexed="64"/>
      </top>
      <bottom style="double">
        <color indexed="64"/>
      </bottom>
      <diagonal/>
    </border>
    <border>
      <left/>
      <right style="double">
        <color indexed="64"/>
      </right>
      <top/>
      <bottom/>
      <diagonal/>
    </border>
    <border>
      <left style="double">
        <color indexed="64"/>
      </left>
      <right/>
      <top style="thin">
        <color indexed="64"/>
      </top>
      <bottom style="thin">
        <color indexed="64"/>
      </bottom>
      <diagonal/>
    </border>
    <border>
      <left style="double">
        <color indexed="64"/>
      </left>
      <right/>
      <top style="double">
        <color indexed="64"/>
      </top>
      <bottom/>
      <diagonal/>
    </border>
    <border>
      <left style="double">
        <color indexed="64"/>
      </left>
      <right/>
      <top/>
      <bottom style="thin">
        <color indexed="64"/>
      </bottom>
      <diagonal/>
    </border>
    <border>
      <left style="double">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double">
        <color indexed="64"/>
      </right>
      <top style="double">
        <color indexed="64"/>
      </top>
      <bottom/>
      <diagonal/>
    </border>
    <border>
      <left/>
      <right style="thin">
        <color indexed="64"/>
      </right>
      <top style="double">
        <color indexed="64"/>
      </top>
      <bottom/>
      <diagonal/>
    </border>
    <border>
      <left style="thin">
        <color indexed="64"/>
      </left>
      <right style="double">
        <color indexed="64"/>
      </right>
      <top/>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style="thin">
        <color rgb="FFB2B2B2"/>
      </left>
      <right style="thin">
        <color rgb="FFB2B2B2"/>
      </right>
      <top style="thin">
        <color rgb="FFB2B2B2"/>
      </top>
      <bottom style="thin">
        <color rgb="FFB2B2B2"/>
      </bottom>
      <diagonal/>
    </border>
    <border>
      <left style="thin">
        <color theme="4" tint="0.39997558519241921"/>
      </left>
      <right/>
      <top style="thin">
        <color theme="4" tint="0.39997558519241921"/>
      </top>
      <bottom style="thin">
        <color theme="4" tint="0.39997558519241921"/>
      </bottom>
      <diagonal/>
    </border>
    <border>
      <left style="thin">
        <color theme="4" tint="0.39997558519241921"/>
      </left>
      <right/>
      <top/>
      <bottom style="thin">
        <color theme="4" tint="0.39997558519241921"/>
      </bottom>
      <diagonal/>
    </border>
    <border>
      <left style="thin">
        <color theme="4" tint="0.39997558519241921"/>
      </left>
      <right/>
      <top style="thin">
        <color theme="4" tint="0.39997558519241921"/>
      </top>
      <bottom/>
      <diagonal/>
    </border>
    <border>
      <left/>
      <right style="thin">
        <color theme="4" tint="0.39997558519241921"/>
      </right>
      <top style="thin">
        <color theme="4" tint="0.39997558519241921"/>
      </top>
      <bottom/>
      <diagonal/>
    </border>
    <border>
      <left style="thin">
        <color auto="1"/>
      </left>
      <right style="thin">
        <color indexed="64"/>
      </right>
      <top style="thin">
        <color auto="1"/>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8"/>
      </left>
      <right/>
      <top style="thin">
        <color indexed="8"/>
      </top>
      <bottom style="thin">
        <color indexed="8"/>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thin">
        <color theme="3"/>
      </right>
      <top/>
      <bottom style="thin">
        <color theme="3"/>
      </bottom>
      <diagonal/>
    </border>
    <border>
      <left style="thin">
        <color theme="3"/>
      </left>
      <right style="thin">
        <color theme="3"/>
      </right>
      <top style="thin">
        <color theme="3"/>
      </top>
      <bottom style="thin">
        <color theme="3"/>
      </bottom>
      <diagonal/>
    </border>
    <border>
      <left style="thin">
        <color theme="3"/>
      </left>
      <right style="thin">
        <color theme="3"/>
      </right>
      <top style="thin">
        <color theme="3"/>
      </top>
      <bottom/>
      <diagonal/>
    </border>
    <border>
      <left style="thin">
        <color indexed="64"/>
      </left>
      <right style="thin">
        <color theme="3"/>
      </right>
      <top style="thin">
        <color indexed="64"/>
      </top>
      <bottom/>
      <diagonal/>
    </border>
    <border>
      <left style="thin">
        <color theme="3"/>
      </left>
      <right style="thin">
        <color theme="3"/>
      </right>
      <top/>
      <bottom/>
      <diagonal/>
    </border>
    <border>
      <left style="thin">
        <color indexed="64"/>
      </left>
      <right style="thin">
        <color theme="3"/>
      </right>
      <top/>
      <bottom style="thin">
        <color indexed="64"/>
      </bottom>
      <diagonal/>
    </border>
    <border>
      <left style="thin">
        <color theme="3"/>
      </left>
      <right style="thin">
        <color theme="3"/>
      </right>
      <top/>
      <bottom style="thin">
        <color indexed="64"/>
      </bottom>
      <diagonal/>
    </border>
    <border>
      <left style="medium">
        <color indexed="64"/>
      </left>
      <right/>
      <top/>
      <bottom style="double">
        <color indexed="64"/>
      </bottom>
      <diagonal/>
    </border>
    <border>
      <left style="medium">
        <color indexed="64"/>
      </left>
      <right/>
      <top style="double">
        <color indexed="64"/>
      </top>
      <bottom style="double">
        <color indexed="64"/>
      </bottom>
      <diagonal/>
    </border>
    <border>
      <left style="thin">
        <color indexed="64"/>
      </left>
      <right/>
      <top style="double">
        <color indexed="64"/>
      </top>
      <bottom style="double">
        <color indexed="64"/>
      </bottom>
      <diagonal/>
    </border>
    <border>
      <left style="thin">
        <color indexed="64"/>
      </left>
      <right/>
      <top style="thin">
        <color indexed="64"/>
      </top>
      <bottom style="double">
        <color indexed="64"/>
      </bottom>
      <diagonal/>
    </border>
    <border>
      <left style="medium">
        <color indexed="64"/>
      </left>
      <right/>
      <top style="thin">
        <color indexed="64"/>
      </top>
      <bottom style="double">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thin">
        <color indexed="64"/>
      </left>
      <right/>
      <top style="double">
        <color indexed="64"/>
      </top>
      <bottom style="medium">
        <color indexed="64"/>
      </bottom>
      <diagonal/>
    </border>
    <border>
      <left style="thin">
        <color indexed="64"/>
      </left>
      <right/>
      <top style="double">
        <color indexed="64"/>
      </top>
      <bottom/>
      <diagonal/>
    </border>
    <border>
      <left style="medium">
        <color indexed="64"/>
      </left>
      <right style="thin">
        <color indexed="22"/>
      </right>
      <top style="medium">
        <color indexed="64"/>
      </top>
      <bottom style="medium">
        <color indexed="64"/>
      </bottom>
      <diagonal/>
    </border>
    <border>
      <left style="thin">
        <color indexed="22"/>
      </left>
      <right style="thin">
        <color indexed="22"/>
      </right>
      <top style="medium">
        <color indexed="64"/>
      </top>
      <bottom style="medium">
        <color indexed="64"/>
      </bottom>
      <diagonal/>
    </border>
    <border>
      <left style="thin">
        <color indexed="22"/>
      </left>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medium">
        <color indexed="64"/>
      </bottom>
      <diagonal/>
    </border>
    <border>
      <left style="double">
        <color indexed="64"/>
      </left>
      <right style="thin">
        <color indexed="64"/>
      </right>
      <top style="thin">
        <color indexed="64"/>
      </top>
      <bottom style="medium">
        <color indexed="64"/>
      </bottom>
      <diagonal/>
    </border>
    <border>
      <left style="thin">
        <color indexed="64"/>
      </left>
      <right/>
      <top style="medium">
        <color indexed="64"/>
      </top>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right/>
      <top style="medium">
        <color indexed="64"/>
      </top>
      <bottom style="thin">
        <color indexed="64"/>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thin">
        <color indexed="64"/>
      </top>
      <bottom style="medium">
        <color indexed="64"/>
      </bottom>
      <diagonal/>
    </border>
    <border>
      <left style="thin">
        <color indexed="22"/>
      </left>
      <right style="thin">
        <color indexed="22"/>
      </right>
      <top style="thin">
        <color indexed="22"/>
      </top>
      <bottom style="thin">
        <color indexed="22"/>
      </bottom>
      <diagonal/>
    </border>
    <border>
      <left/>
      <right style="thin">
        <color indexed="64"/>
      </right>
      <top/>
      <bottom style="medium">
        <color indexed="64"/>
      </bottom>
      <diagonal/>
    </border>
    <border>
      <left style="thin">
        <color auto="1"/>
      </left>
      <right style="thin">
        <color auto="1"/>
      </right>
      <top style="thin">
        <color auto="1"/>
      </top>
      <bottom/>
      <diagonal/>
    </border>
    <border>
      <left style="thin">
        <color indexed="64"/>
      </left>
      <right/>
      <top style="thin">
        <color indexed="64"/>
      </top>
      <bottom/>
      <diagonal/>
    </border>
    <border>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style="medium">
        <color rgb="FF9BC2E6"/>
      </left>
      <right/>
      <top style="medium">
        <color rgb="FF9BC2E6"/>
      </top>
      <bottom style="medium">
        <color rgb="FF9BC2E6"/>
      </bottom>
      <diagonal/>
    </border>
    <border>
      <left style="medium">
        <color rgb="FF9BC2E6"/>
      </left>
      <right/>
      <top/>
      <bottom style="medium">
        <color rgb="FF9BC2E6"/>
      </bottom>
      <diagonal/>
    </border>
    <border>
      <left style="double">
        <color indexed="64"/>
      </left>
      <right/>
      <top style="double">
        <color indexed="64"/>
      </top>
      <bottom style="thin">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right style="double">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thin">
        <color indexed="64"/>
      </top>
      <bottom/>
      <diagonal/>
    </border>
    <border>
      <left style="thin">
        <color theme="3"/>
      </left>
      <right style="thin">
        <color theme="3"/>
      </right>
      <top/>
      <bottom style="thin">
        <color theme="3"/>
      </bottom>
      <diagonal/>
    </border>
    <border>
      <left style="thin">
        <color indexed="64"/>
      </left>
      <right/>
      <top style="thin">
        <color indexed="64"/>
      </top>
      <bottom/>
      <diagonal/>
    </border>
    <border>
      <left/>
      <right style="thin">
        <color indexed="64"/>
      </right>
      <top style="thin">
        <color auto="1"/>
      </top>
      <bottom/>
      <diagonal/>
    </border>
    <border>
      <left style="thin">
        <color auto="1"/>
      </left>
      <right style="thin">
        <color auto="1"/>
      </right>
      <top style="thin">
        <color auto="1"/>
      </top>
      <bottom/>
      <diagonal/>
    </border>
    <border>
      <left style="thin">
        <color indexed="64"/>
      </left>
      <right/>
      <top/>
      <bottom style="thin">
        <color theme="3"/>
      </bottom>
      <diagonal/>
    </border>
    <border>
      <left style="thick">
        <color rgb="FFC00000"/>
      </left>
      <right style="thick">
        <color rgb="FFC00000"/>
      </right>
      <top style="thick">
        <color rgb="FFC00000"/>
      </top>
      <bottom/>
      <diagonal/>
    </border>
    <border>
      <left style="thick">
        <color rgb="FFC00000"/>
      </left>
      <right style="thick">
        <color rgb="FFC00000"/>
      </right>
      <top/>
      <bottom style="thick">
        <color rgb="FFC00000"/>
      </bottom>
      <diagonal/>
    </border>
    <border>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top style="thin">
        <color indexed="64"/>
      </top>
      <bottom/>
      <diagonal/>
    </border>
    <border>
      <left/>
      <right style="medium">
        <color indexed="64"/>
      </right>
      <top/>
      <bottom style="thin">
        <color indexed="64"/>
      </bottom>
      <diagonal/>
    </border>
  </borders>
  <cellStyleXfs count="37">
    <xf numFmtId="0" fontId="0" fillId="0" borderId="0"/>
    <xf numFmtId="165" fontId="6" fillId="0" borderId="0" applyFont="0" applyFill="0" applyBorder="0" applyAlignment="0" applyProtection="0"/>
    <xf numFmtId="9" fontId="6" fillId="0" borderId="0" applyFont="0" applyFill="0" applyBorder="0" applyAlignment="0" applyProtection="0"/>
    <xf numFmtId="0" fontId="8" fillId="3" borderId="1" applyNumberFormat="0" applyFont="0" applyAlignment="0" applyProtection="0"/>
    <xf numFmtId="166" fontId="8" fillId="0" borderId="0" applyFont="0" applyFill="0" applyBorder="0" applyAlignment="0" applyProtection="0"/>
    <xf numFmtId="0" fontId="6" fillId="0" borderId="0"/>
    <xf numFmtId="166" fontId="8" fillId="0" borderId="0" applyFont="0" applyFill="0" applyBorder="0" applyAlignment="0" applyProtection="0"/>
    <xf numFmtId="9" fontId="8" fillId="0" borderId="0" applyFont="0" applyFill="0" applyBorder="0" applyAlignment="0" applyProtection="0"/>
    <xf numFmtId="0" fontId="7" fillId="2" borderId="0" applyNumberFormat="0" applyBorder="0" applyAlignment="0" applyProtection="0"/>
    <xf numFmtId="0" fontId="8" fillId="0" borderId="0"/>
    <xf numFmtId="0" fontId="8" fillId="0" borderId="0"/>
    <xf numFmtId="0" fontId="9" fillId="0" borderId="0"/>
    <xf numFmtId="0" fontId="18" fillId="22" borderId="0" applyNumberFormat="0" applyBorder="0" applyAlignment="0" applyProtection="0"/>
    <xf numFmtId="0" fontId="18" fillId="23" borderId="0" applyNumberFormat="0" applyBorder="0" applyAlignment="0" applyProtection="0"/>
    <xf numFmtId="164" fontId="6" fillId="0" borderId="0" applyFont="0" applyFill="0" applyBorder="0" applyAlignment="0" applyProtection="0"/>
    <xf numFmtId="164" fontId="6" fillId="0" borderId="0" applyFont="0" applyFill="0" applyBorder="0" applyAlignment="0" applyProtection="0"/>
    <xf numFmtId="0" fontId="26" fillId="0" borderId="0" applyNumberForma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41" fontId="6" fillId="0" borderId="0" applyFont="0" applyFill="0" applyBorder="0" applyAlignment="0" applyProtection="0"/>
    <xf numFmtId="0" fontId="7" fillId="2" borderId="0" applyNumberFormat="0" applyBorder="0" applyAlignment="0" applyProtection="0"/>
    <xf numFmtId="0" fontId="6" fillId="38" borderId="88" applyNumberFormat="0" applyFont="0" applyAlignment="0" applyProtection="0"/>
    <xf numFmtId="0" fontId="6" fillId="39" borderId="0" applyNumberFormat="0" applyBorder="0" applyAlignment="0" applyProtection="0"/>
    <xf numFmtId="0" fontId="6" fillId="41" borderId="0" applyNumberFormat="0" applyBorder="0" applyAlignment="0" applyProtection="0"/>
    <xf numFmtId="43" fontId="8" fillId="0" borderId="0" applyFont="0" applyFill="0" applyBorder="0" applyAlignment="0" applyProtection="0"/>
    <xf numFmtId="0" fontId="8" fillId="3" borderId="1" applyNumberFormat="0" applyFont="0" applyAlignment="0" applyProtection="0"/>
    <xf numFmtId="178" fontId="6" fillId="0" borderId="0" applyFont="0" applyFill="0" applyBorder="0" applyAlignment="0" applyProtection="0"/>
    <xf numFmtId="166" fontId="8" fillId="0" borderId="0" applyFont="0" applyFill="0" applyBorder="0" applyAlignment="0" applyProtection="0"/>
    <xf numFmtId="0" fontId="9" fillId="0" borderId="0"/>
    <xf numFmtId="0" fontId="9" fillId="0" borderId="0"/>
    <xf numFmtId="0" fontId="6" fillId="0" borderId="0"/>
    <xf numFmtId="9" fontId="8" fillId="0" borderId="0" applyFont="0" applyFill="0" applyBorder="0" applyAlignment="0" applyProtection="0"/>
    <xf numFmtId="0" fontId="146" fillId="37" borderId="0" applyNumberFormat="0" applyBorder="0" applyAlignment="0" applyProtection="0"/>
    <xf numFmtId="0" fontId="6" fillId="40" borderId="0" applyNumberFormat="0" applyBorder="0" applyAlignment="0" applyProtection="0"/>
    <xf numFmtId="0" fontId="8" fillId="3" borderId="142" applyNumberFormat="0" applyFont="0" applyAlignment="0" applyProtection="0"/>
    <xf numFmtId="0" fontId="8" fillId="3" borderId="147" applyNumberFormat="0" applyFont="0" applyAlignment="0" applyProtection="0"/>
    <xf numFmtId="0" fontId="168" fillId="66" borderId="0" applyNumberFormat="0" applyBorder="0" applyAlignment="0" applyProtection="0"/>
  </cellStyleXfs>
  <cellXfs count="2545">
    <xf numFmtId="0" fontId="0" fillId="0" borderId="0" xfId="0"/>
    <xf numFmtId="0" fontId="9" fillId="0" borderId="0" xfId="5" applyFont="1" applyAlignment="1" applyProtection="1">
      <alignment vertical="center"/>
      <protection locked="0"/>
    </xf>
    <xf numFmtId="49" fontId="10" fillId="0" borderId="0" xfId="5" applyNumberFormat="1" applyFont="1" applyAlignment="1" applyProtection="1">
      <alignment horizontal="center" vertical="center"/>
      <protection locked="0"/>
    </xf>
    <xf numFmtId="0" fontId="10" fillId="0" borderId="0" xfId="5" applyFont="1" applyAlignment="1" applyProtection="1">
      <alignment vertical="center"/>
      <protection locked="0"/>
    </xf>
    <xf numFmtId="14" fontId="10" fillId="0" borderId="0" xfId="5" applyNumberFormat="1" applyFont="1" applyAlignment="1" applyProtection="1">
      <alignment vertical="center"/>
      <protection locked="0"/>
    </xf>
    <xf numFmtId="170" fontId="10" fillId="0" borderId="0" xfId="7" applyNumberFormat="1" applyFont="1" applyAlignment="1" applyProtection="1">
      <alignment vertical="center"/>
      <protection locked="0"/>
    </xf>
    <xf numFmtId="171" fontId="10" fillId="0" borderId="0" xfId="7" applyNumberFormat="1" applyFont="1" applyAlignment="1" applyProtection="1">
      <alignment vertical="center"/>
      <protection locked="0"/>
    </xf>
    <xf numFmtId="170" fontId="10" fillId="0" borderId="0" xfId="7" applyNumberFormat="1" applyFont="1" applyFill="1" applyAlignment="1" applyProtection="1">
      <alignment vertical="center"/>
      <protection locked="0"/>
    </xf>
    <xf numFmtId="170" fontId="12" fillId="0" borderId="0" xfId="7" applyNumberFormat="1" applyFont="1" applyAlignment="1" applyProtection="1">
      <alignment vertical="center"/>
      <protection locked="0"/>
    </xf>
    <xf numFmtId="0" fontId="19" fillId="0" borderId="0" xfId="0" applyFont="1" applyAlignment="1" applyProtection="1">
      <alignment horizontal="right" vertical="center"/>
      <protection hidden="1"/>
    </xf>
    <xf numFmtId="0" fontId="14" fillId="0" borderId="0" xfId="0" applyFont="1" applyAlignment="1" applyProtection="1">
      <alignment wrapText="1"/>
      <protection hidden="1"/>
    </xf>
    <xf numFmtId="0" fontId="14" fillId="0" borderId="0" xfId="0" applyFont="1" applyProtection="1">
      <protection hidden="1"/>
    </xf>
    <xf numFmtId="175" fontId="19" fillId="0" borderId="0" xfId="0" applyNumberFormat="1" applyFont="1" applyProtection="1">
      <protection hidden="1"/>
    </xf>
    <xf numFmtId="10" fontId="19" fillId="0" borderId="0" xfId="0" applyNumberFormat="1" applyFont="1" applyAlignment="1" applyProtection="1">
      <alignment horizontal="center"/>
      <protection locked="0"/>
    </xf>
    <xf numFmtId="175" fontId="19" fillId="0" borderId="0" xfId="15" applyNumberFormat="1" applyFont="1" applyFill="1" applyBorder="1" applyAlignment="1" applyProtection="1">
      <alignment horizontal="center"/>
      <protection hidden="1"/>
    </xf>
    <xf numFmtId="0" fontId="19" fillId="0" borderId="0" xfId="0" applyFont="1" applyProtection="1">
      <protection hidden="1"/>
    </xf>
    <xf numFmtId="0" fontId="14" fillId="0" borderId="0" xfId="0" applyFont="1" applyAlignment="1" applyProtection="1">
      <alignment horizontal="right"/>
      <protection hidden="1"/>
    </xf>
    <xf numFmtId="0" fontId="19" fillId="7" borderId="4" xfId="0" applyFont="1" applyFill="1" applyBorder="1" applyAlignment="1" applyProtection="1">
      <alignment horizontal="center" vertical="center" wrapText="1"/>
      <protection hidden="1"/>
    </xf>
    <xf numFmtId="0" fontId="19" fillId="29" borderId="4" xfId="0" applyFont="1" applyFill="1" applyBorder="1" applyAlignment="1" applyProtection="1">
      <alignment horizontal="center" vertical="center" wrapText="1"/>
      <protection hidden="1"/>
    </xf>
    <xf numFmtId="0" fontId="11" fillId="24" borderId="4" xfId="12" applyFont="1" applyFill="1" applyBorder="1" applyAlignment="1" applyProtection="1">
      <alignment horizontal="center" vertical="center"/>
      <protection hidden="1"/>
    </xf>
    <xf numFmtId="0" fontId="20" fillId="0" borderId="4" xfId="0" applyFont="1" applyBorder="1" applyAlignment="1" applyProtection="1">
      <alignment horizontal="center" vertical="center" wrapText="1"/>
      <protection locked="0" hidden="1"/>
    </xf>
    <xf numFmtId="0" fontId="20" fillId="0" borderId="4" xfId="0" applyFont="1" applyBorder="1" applyAlignment="1" applyProtection="1">
      <alignment horizontal="center" vertical="center"/>
      <protection locked="0" hidden="1"/>
    </xf>
    <xf numFmtId="0" fontId="23" fillId="23" borderId="4" xfId="13" applyFont="1" applyBorder="1" applyAlignment="1" applyProtection="1">
      <alignment horizontal="center" vertical="center"/>
      <protection hidden="1"/>
    </xf>
    <xf numFmtId="176" fontId="24" fillId="25" borderId="4" xfId="2" applyNumberFormat="1" applyFont="1" applyFill="1" applyBorder="1" applyAlignment="1" applyProtection="1">
      <alignment horizontal="center" vertical="center"/>
      <protection hidden="1"/>
    </xf>
    <xf numFmtId="9" fontId="24" fillId="25" borderId="4" xfId="2" applyFont="1" applyFill="1" applyBorder="1" applyAlignment="1" applyProtection="1">
      <alignment horizontal="center" vertical="center"/>
      <protection hidden="1"/>
    </xf>
    <xf numFmtId="165" fontId="19" fillId="13" borderId="0" xfId="1" applyFont="1" applyFill="1" applyBorder="1" applyAlignment="1">
      <alignment wrapText="1"/>
    </xf>
    <xf numFmtId="0" fontId="14" fillId="0" borderId="13" xfId="0" applyFont="1" applyBorder="1" applyAlignment="1" applyProtection="1">
      <alignment horizontal="left"/>
      <protection hidden="1"/>
    </xf>
    <xf numFmtId="0" fontId="27" fillId="13" borderId="0" xfId="12" applyFont="1" applyFill="1" applyBorder="1" applyAlignment="1" applyProtection="1">
      <alignment horizontal="left" vertical="top" wrapText="1"/>
      <protection locked="0" hidden="1"/>
    </xf>
    <xf numFmtId="0" fontId="25" fillId="25" borderId="70" xfId="0" applyFont="1" applyFill="1" applyBorder="1" applyAlignment="1" applyProtection="1">
      <alignment horizontal="center" vertical="center"/>
      <protection hidden="1"/>
    </xf>
    <xf numFmtId="0" fontId="14" fillId="13" borderId="0" xfId="0" applyFont="1" applyFill="1"/>
    <xf numFmtId="0" fontId="14" fillId="0" borderId="0" xfId="0" applyFont="1"/>
    <xf numFmtId="0" fontId="14" fillId="0" borderId="4" xfId="0" applyFont="1" applyBorder="1" applyAlignment="1">
      <alignment horizontal="center"/>
    </xf>
    <xf numFmtId="0" fontId="14" fillId="13" borderId="0" xfId="0" applyFont="1" applyFill="1" applyProtection="1">
      <protection hidden="1"/>
    </xf>
    <xf numFmtId="0" fontId="14" fillId="13" borderId="0" xfId="0" applyFont="1" applyFill="1" applyProtection="1">
      <protection locked="0"/>
    </xf>
    <xf numFmtId="0" fontId="14" fillId="13" borderId="0" xfId="0" applyFont="1" applyFill="1" applyAlignment="1" applyProtection="1">
      <alignment horizontal="center"/>
      <protection hidden="1"/>
    </xf>
    <xf numFmtId="0" fontId="30" fillId="18" borderId="57" xfId="0" applyFont="1" applyFill="1" applyBorder="1" applyAlignment="1">
      <alignment horizontal="center" vertical="center" wrapText="1"/>
    </xf>
    <xf numFmtId="0" fontId="30" fillId="18" borderId="58" xfId="0" applyFont="1" applyFill="1" applyBorder="1" applyAlignment="1">
      <alignment horizontal="center" vertical="center" wrapText="1"/>
    </xf>
    <xf numFmtId="0" fontId="14" fillId="13" borderId="68" xfId="0" applyFont="1" applyFill="1" applyBorder="1"/>
    <xf numFmtId="1" fontId="14" fillId="0" borderId="69" xfId="1" applyNumberFormat="1" applyFont="1" applyBorder="1"/>
    <xf numFmtId="165" fontId="14" fillId="0" borderId="69" xfId="1" applyFont="1" applyBorder="1"/>
    <xf numFmtId="0" fontId="30" fillId="18" borderId="60" xfId="0" applyFont="1" applyFill="1" applyBorder="1" applyAlignment="1">
      <alignment horizontal="center" vertical="center" wrapText="1"/>
    </xf>
    <xf numFmtId="0" fontId="35" fillId="12" borderId="59" xfId="0" applyFont="1" applyFill="1" applyBorder="1" applyAlignment="1">
      <alignment horizontal="center" vertical="center" wrapText="1"/>
    </xf>
    <xf numFmtId="0" fontId="35" fillId="12" borderId="60" xfId="0" applyFont="1" applyFill="1" applyBorder="1" applyAlignment="1">
      <alignment horizontal="center" vertical="center" wrapText="1"/>
    </xf>
    <xf numFmtId="0" fontId="35" fillId="12" borderId="70" xfId="0" applyFont="1" applyFill="1" applyBorder="1" applyAlignment="1">
      <alignment horizontal="center" vertical="center" wrapText="1"/>
    </xf>
    <xf numFmtId="0" fontId="35" fillId="33" borderId="74" xfId="0" applyFont="1" applyFill="1" applyBorder="1" applyAlignment="1">
      <alignment horizontal="center" vertical="center" wrapText="1"/>
    </xf>
    <xf numFmtId="0" fontId="35" fillId="33" borderId="14" xfId="0" applyFont="1" applyFill="1" applyBorder="1" applyAlignment="1">
      <alignment horizontal="center" vertical="center" wrapText="1"/>
    </xf>
    <xf numFmtId="0" fontId="25" fillId="0" borderId="72" xfId="0" applyFont="1" applyBorder="1" applyAlignment="1">
      <alignment horizontal="center" vertical="center" wrapText="1"/>
    </xf>
    <xf numFmtId="44" fontId="14" fillId="0" borderId="57" xfId="17" applyFont="1" applyBorder="1"/>
    <xf numFmtId="165" fontId="14" fillId="0" borderId="58" xfId="1" applyFont="1" applyBorder="1"/>
    <xf numFmtId="0" fontId="25" fillId="0" borderId="0" xfId="0" applyFont="1" applyProtection="1">
      <protection hidden="1"/>
    </xf>
    <xf numFmtId="0" fontId="10" fillId="0" borderId="0" xfId="0" applyFont="1" applyAlignment="1" applyProtection="1">
      <alignment vertical="center"/>
      <protection hidden="1"/>
    </xf>
    <xf numFmtId="0" fontId="14" fillId="0" borderId="0" xfId="0" applyFont="1" applyProtection="1">
      <protection locked="0"/>
    </xf>
    <xf numFmtId="0" fontId="25" fillId="0" borderId="0" xfId="0" applyFont="1" applyAlignment="1" applyProtection="1">
      <alignment horizontal="right"/>
      <protection locked="0"/>
    </xf>
    <xf numFmtId="0" fontId="14" fillId="0" borderId="73" xfId="0" applyFont="1" applyBorder="1" applyProtection="1">
      <protection hidden="1"/>
    </xf>
    <xf numFmtId="0" fontId="14" fillId="0" borderId="77" xfId="0" applyFont="1" applyBorder="1" applyProtection="1">
      <protection hidden="1"/>
    </xf>
    <xf numFmtId="0" fontId="25" fillId="0" borderId="0" xfId="0" applyFont="1" applyAlignment="1" applyProtection="1">
      <alignment horizontal="center"/>
      <protection hidden="1"/>
    </xf>
    <xf numFmtId="0" fontId="36" fillId="0" borderId="0" xfId="0" applyFont="1" applyProtection="1">
      <protection hidden="1"/>
    </xf>
    <xf numFmtId="0" fontId="25" fillId="10" borderId="4" xfId="0" applyFont="1" applyFill="1" applyBorder="1" applyAlignment="1" applyProtection="1">
      <alignment horizontal="center" vertical="center"/>
      <protection hidden="1"/>
    </xf>
    <xf numFmtId="167" fontId="27" fillId="0" borderId="0" xfId="4" applyNumberFormat="1" applyFont="1" applyAlignment="1" applyProtection="1">
      <alignment horizontal="center" vertical="center"/>
      <protection locked="0"/>
    </xf>
    <xf numFmtId="167" fontId="27" fillId="16" borderId="0" xfId="4" applyNumberFormat="1" applyFont="1" applyFill="1" applyAlignment="1" applyProtection="1">
      <alignment horizontal="center" vertical="center"/>
      <protection locked="0"/>
    </xf>
    <xf numFmtId="174" fontId="14" fillId="0" borderId="0" xfId="1" applyNumberFormat="1" applyFont="1" applyProtection="1">
      <protection hidden="1"/>
    </xf>
    <xf numFmtId="0" fontId="14" fillId="0" borderId="0" xfId="0" quotePrefix="1" applyFont="1" applyProtection="1">
      <protection hidden="1"/>
    </xf>
    <xf numFmtId="0" fontId="14" fillId="0" borderId="0" xfId="0" applyFont="1" applyAlignment="1" applyProtection="1">
      <alignment horizontal="center"/>
      <protection hidden="1"/>
    </xf>
    <xf numFmtId="173" fontId="27" fillId="0" borderId="0" xfId="2" applyNumberFormat="1" applyFont="1" applyAlignment="1" applyProtection="1">
      <alignment horizontal="center" vertical="center"/>
      <protection locked="0"/>
    </xf>
    <xf numFmtId="9" fontId="27" fillId="16" borderId="0" xfId="2" applyFont="1" applyFill="1" applyAlignment="1" applyProtection="1">
      <alignment horizontal="center" vertical="center"/>
      <protection locked="0"/>
    </xf>
    <xf numFmtId="9" fontId="27" fillId="0" borderId="0" xfId="2" applyFont="1" applyAlignment="1" applyProtection="1">
      <alignment horizontal="center" vertical="center"/>
      <protection locked="0"/>
    </xf>
    <xf numFmtId="10" fontId="27" fillId="16" borderId="0" xfId="2" applyNumberFormat="1" applyFont="1" applyFill="1" applyAlignment="1" applyProtection="1">
      <alignment horizontal="center" vertical="center"/>
      <protection locked="0"/>
    </xf>
    <xf numFmtId="10" fontId="27" fillId="0" borderId="0" xfId="2" applyNumberFormat="1" applyFont="1" applyAlignment="1" applyProtection="1">
      <alignment horizontal="center" vertical="center"/>
      <protection locked="0"/>
    </xf>
    <xf numFmtId="164" fontId="22" fillId="0" borderId="0" xfId="14" applyFont="1" applyFill="1" applyBorder="1" applyAlignment="1" applyProtection="1">
      <protection hidden="1"/>
    </xf>
    <xf numFmtId="0" fontId="14" fillId="0" borderId="0" xfId="0" applyFont="1" applyAlignment="1" applyProtection="1">
      <alignment horizontal="justify" vertical="top" wrapText="1"/>
      <protection locked="0"/>
    </xf>
    <xf numFmtId="0" fontId="14" fillId="0" borderId="0" xfId="0" applyFont="1" applyAlignment="1" applyProtection="1">
      <alignment horizontal="right" vertical="top"/>
      <protection locked="0"/>
    </xf>
    <xf numFmtId="175" fontId="14" fillId="0" borderId="0" xfId="14" applyNumberFormat="1" applyFont="1" applyFill="1" applyBorder="1" applyAlignment="1" applyProtection="1">
      <alignment horizontal="justify" vertical="top" wrapText="1"/>
      <protection locked="0"/>
    </xf>
    <xf numFmtId="9" fontId="27" fillId="0" borderId="0" xfId="2" applyFont="1" applyAlignment="1" applyProtection="1">
      <alignment horizontal="right" vertical="center"/>
      <protection locked="0"/>
    </xf>
    <xf numFmtId="167" fontId="42" fillId="0" borderId="0" xfId="4" applyNumberFormat="1" applyFont="1" applyAlignment="1" applyProtection="1">
      <alignment horizontal="center" vertical="center"/>
      <protection locked="0"/>
    </xf>
    <xf numFmtId="1" fontId="42" fillId="16" borderId="0" xfId="2" applyNumberFormat="1" applyFont="1" applyFill="1" applyAlignment="1" applyProtection="1">
      <alignment horizontal="center" vertical="center"/>
      <protection locked="0"/>
    </xf>
    <xf numFmtId="1" fontId="42" fillId="0" borderId="0" xfId="2" applyNumberFormat="1" applyFont="1" applyAlignment="1" applyProtection="1">
      <alignment horizontal="center" vertical="center"/>
      <protection locked="0"/>
    </xf>
    <xf numFmtId="0" fontId="25" fillId="0" borderId="0" xfId="0" applyFont="1" applyAlignment="1" applyProtection="1">
      <alignment horizontal="right" vertical="top" wrapText="1"/>
      <protection locked="0"/>
    </xf>
    <xf numFmtId="9" fontId="25" fillId="0" borderId="0" xfId="0" applyNumberFormat="1" applyFont="1" applyAlignment="1" applyProtection="1">
      <alignment horizontal="right" vertical="top" wrapText="1"/>
      <protection locked="0"/>
    </xf>
    <xf numFmtId="0" fontId="25" fillId="0" borderId="0" xfId="0" applyFont="1" applyAlignment="1" applyProtection="1">
      <alignment horizontal="right"/>
      <protection hidden="1"/>
    </xf>
    <xf numFmtId="175" fontId="25" fillId="0" borderId="0" xfId="0" applyNumberFormat="1" applyFont="1" applyAlignment="1" applyProtection="1">
      <alignment horizontal="right"/>
      <protection hidden="1"/>
    </xf>
    <xf numFmtId="10" fontId="27" fillId="0" borderId="36" xfId="2" applyNumberFormat="1" applyFont="1" applyBorder="1" applyAlignment="1" applyProtection="1">
      <alignment horizontal="center" vertical="center"/>
      <protection locked="0"/>
    </xf>
    <xf numFmtId="0" fontId="14" fillId="0" borderId="36" xfId="0" applyFont="1" applyBorder="1" applyProtection="1">
      <protection hidden="1"/>
    </xf>
    <xf numFmtId="0" fontId="19" fillId="0" borderId="0" xfId="0" applyFont="1" applyAlignment="1" applyProtection="1">
      <alignment horizontal="right" vertical="top" wrapText="1"/>
      <protection locked="0"/>
    </xf>
    <xf numFmtId="9" fontId="19" fillId="0" borderId="0" xfId="0" applyNumberFormat="1" applyFont="1" applyAlignment="1" applyProtection="1">
      <alignment horizontal="right" vertical="top" wrapText="1"/>
      <protection locked="0"/>
    </xf>
    <xf numFmtId="167" fontId="27" fillId="9" borderId="0" xfId="4" applyNumberFormat="1" applyFont="1" applyFill="1" applyAlignment="1" applyProtection="1">
      <alignment horizontal="center" vertical="center"/>
      <protection locked="0"/>
    </xf>
    <xf numFmtId="175" fontId="19" fillId="0" borderId="0" xfId="14" applyNumberFormat="1" applyFont="1" applyFill="1" applyBorder="1" applyAlignment="1" applyProtection="1">
      <alignment horizontal="right" vertical="top" wrapText="1"/>
      <protection locked="0"/>
    </xf>
    <xf numFmtId="0" fontId="21" fillId="0" borderId="0" xfId="0" applyFont="1" applyAlignment="1" applyProtection="1">
      <alignment horizontal="center"/>
      <protection hidden="1"/>
    </xf>
    <xf numFmtId="9" fontId="14" fillId="0" borderId="0" xfId="0" applyNumberFormat="1" applyFont="1" applyAlignment="1" applyProtection="1">
      <alignment horizontal="center"/>
      <protection hidden="1"/>
    </xf>
    <xf numFmtId="9" fontId="27" fillId="0" borderId="0" xfId="0" applyNumberFormat="1" applyFont="1" applyAlignment="1" applyProtection="1">
      <alignment horizontal="center"/>
      <protection hidden="1"/>
    </xf>
    <xf numFmtId="0" fontId="25" fillId="0" borderId="0" xfId="0" applyFont="1" applyAlignment="1" applyProtection="1">
      <alignment horizontal="left"/>
      <protection hidden="1"/>
    </xf>
    <xf numFmtId="10" fontId="27" fillId="0" borderId="0" xfId="0" applyNumberFormat="1" applyFont="1" applyAlignment="1" applyProtection="1">
      <alignment horizontal="center"/>
      <protection hidden="1"/>
    </xf>
    <xf numFmtId="172" fontId="27" fillId="0" borderId="0" xfId="2" applyNumberFormat="1" applyFont="1" applyAlignment="1" applyProtection="1">
      <alignment horizontal="center" vertical="center"/>
      <protection locked="0"/>
    </xf>
    <xf numFmtId="9" fontId="25" fillId="0" borderId="0" xfId="0" applyNumberFormat="1" applyFont="1" applyAlignment="1" applyProtection="1">
      <alignment horizontal="center"/>
      <protection hidden="1"/>
    </xf>
    <xf numFmtId="170" fontId="27" fillId="0" borderId="0" xfId="2" applyNumberFormat="1" applyFont="1" applyAlignment="1" applyProtection="1">
      <alignment horizontal="center" vertical="center"/>
      <protection locked="0"/>
    </xf>
    <xf numFmtId="167" fontId="27" fillId="21" borderId="0" xfId="4" applyNumberFormat="1" applyFont="1" applyFill="1" applyAlignment="1" applyProtection="1">
      <alignment horizontal="center" vertical="center"/>
      <protection locked="0"/>
    </xf>
    <xf numFmtId="171" fontId="14" fillId="0" borderId="0" xfId="1" applyNumberFormat="1" applyFont="1" applyProtection="1">
      <protection hidden="1"/>
    </xf>
    <xf numFmtId="9" fontId="27" fillId="0" borderId="19" xfId="2" applyFont="1" applyBorder="1" applyAlignment="1" applyProtection="1">
      <alignment horizontal="center" vertical="center"/>
      <protection locked="0"/>
    </xf>
    <xf numFmtId="9" fontId="14" fillId="0" borderId="0" xfId="2" applyFont="1" applyFill="1" applyBorder="1" applyAlignment="1" applyProtection="1">
      <alignment horizontal="center"/>
      <protection locked="0" hidden="1"/>
    </xf>
    <xf numFmtId="175" fontId="14" fillId="0" borderId="0" xfId="15" applyNumberFormat="1" applyFont="1" applyFill="1" applyBorder="1" applyProtection="1">
      <protection hidden="1"/>
    </xf>
    <xf numFmtId="0" fontId="25" fillId="0" borderId="0" xfId="0" applyFont="1" applyAlignment="1" applyProtection="1">
      <alignment horizontal="center" vertical="center"/>
      <protection hidden="1"/>
    </xf>
    <xf numFmtId="0" fontId="25" fillId="0" borderId="0" xfId="0" applyFont="1" applyAlignment="1" applyProtection="1">
      <alignment horizontal="center" vertical="center" wrapText="1"/>
      <protection hidden="1"/>
    </xf>
    <xf numFmtId="9" fontId="14" fillId="0" borderId="0" xfId="2" applyFont="1" applyFill="1" applyBorder="1" applyAlignment="1" applyProtection="1">
      <alignment horizontal="center"/>
      <protection hidden="1"/>
    </xf>
    <xf numFmtId="0" fontId="14" fillId="0" borderId="16" xfId="0" applyFont="1" applyBorder="1" applyProtection="1">
      <protection hidden="1"/>
    </xf>
    <xf numFmtId="167" fontId="27" fillId="0" borderId="0" xfId="4" applyNumberFormat="1" applyFont="1" applyAlignment="1" applyProtection="1">
      <alignment vertical="center"/>
      <protection locked="0"/>
    </xf>
    <xf numFmtId="0" fontId="27" fillId="0" borderId="0" xfId="5" applyFont="1" applyAlignment="1" applyProtection="1">
      <alignment vertical="center"/>
      <protection locked="0"/>
    </xf>
    <xf numFmtId="167" fontId="13" fillId="0" borderId="0" xfId="4" applyNumberFormat="1" applyFont="1" applyAlignment="1" applyProtection="1">
      <alignment horizontal="center" vertical="center" wrapText="1"/>
      <protection locked="0"/>
    </xf>
    <xf numFmtId="174" fontId="13" fillId="0" borderId="0" xfId="1" applyNumberFormat="1" applyFont="1" applyAlignment="1" applyProtection="1">
      <alignment horizontal="center" vertical="center" wrapText="1"/>
      <protection locked="0"/>
    </xf>
    <xf numFmtId="49" fontId="13" fillId="7" borderId="48" xfId="4" applyNumberFormat="1" applyFont="1" applyFill="1" applyBorder="1" applyAlignment="1" applyProtection="1">
      <alignment horizontal="center" vertical="center" wrapText="1"/>
      <protection locked="0"/>
    </xf>
    <xf numFmtId="49" fontId="13" fillId="7" borderId="11" xfId="4" applyNumberFormat="1" applyFont="1" applyFill="1" applyBorder="1" applyAlignment="1" applyProtection="1">
      <alignment horizontal="center" vertical="center" wrapText="1"/>
      <protection locked="0"/>
    </xf>
    <xf numFmtId="49" fontId="13" fillId="7" borderId="11" xfId="4" applyNumberFormat="1" applyFont="1" applyFill="1" applyBorder="1" applyAlignment="1" applyProtection="1">
      <alignment horizontal="center" vertical="center"/>
      <protection locked="0"/>
    </xf>
    <xf numFmtId="49" fontId="13" fillId="7" borderId="12" xfId="4" applyNumberFormat="1" applyFont="1" applyFill="1" applyBorder="1" applyAlignment="1" applyProtection="1">
      <alignment horizontal="center" vertical="center"/>
      <protection locked="0"/>
    </xf>
    <xf numFmtId="14" fontId="13" fillId="7" borderId="21" xfId="4" applyNumberFormat="1" applyFont="1" applyFill="1" applyBorder="1" applyAlignment="1" applyProtection="1">
      <alignment horizontal="center" vertical="center" wrapText="1"/>
      <protection locked="0"/>
    </xf>
    <xf numFmtId="14" fontId="13" fillId="7" borderId="4" xfId="4" applyNumberFormat="1" applyFont="1" applyFill="1" applyBorder="1" applyAlignment="1" applyProtection="1">
      <alignment horizontal="center" vertical="center" wrapText="1"/>
      <protection locked="0"/>
    </xf>
    <xf numFmtId="14" fontId="13" fillId="7" borderId="17" xfId="4" applyNumberFormat="1" applyFont="1" applyFill="1" applyBorder="1" applyAlignment="1" applyProtection="1">
      <alignment horizontal="center" vertical="center" wrapText="1"/>
      <protection locked="0"/>
    </xf>
    <xf numFmtId="49" fontId="13" fillId="7" borderId="21" xfId="4" applyNumberFormat="1" applyFont="1" applyFill="1" applyBorder="1" applyAlignment="1" applyProtection="1">
      <alignment horizontal="center" vertical="center" wrapText="1"/>
      <protection locked="0"/>
    </xf>
    <xf numFmtId="165" fontId="13" fillId="7" borderId="21" xfId="1" applyFont="1" applyFill="1" applyBorder="1" applyAlignment="1" applyProtection="1">
      <alignment horizontal="center" vertical="center" wrapText="1"/>
      <protection locked="0"/>
    </xf>
    <xf numFmtId="165" fontId="13" fillId="7" borderId="4" xfId="1" applyFont="1" applyFill="1" applyBorder="1" applyAlignment="1" applyProtection="1">
      <alignment horizontal="center" vertical="center" wrapText="1"/>
      <protection locked="0"/>
    </xf>
    <xf numFmtId="165" fontId="13" fillId="7" borderId="17" xfId="1" applyFont="1" applyFill="1" applyBorder="1" applyAlignment="1" applyProtection="1">
      <alignment horizontal="center" vertical="center" wrapText="1"/>
      <protection locked="0"/>
    </xf>
    <xf numFmtId="168" fontId="13" fillId="8" borderId="21" xfId="4" applyNumberFormat="1" applyFont="1" applyFill="1" applyBorder="1" applyAlignment="1" applyProtection="1">
      <alignment horizontal="center" vertical="center" wrapText="1"/>
      <protection locked="0"/>
    </xf>
    <xf numFmtId="168" fontId="13" fillId="8" borderId="4" xfId="4" applyNumberFormat="1" applyFont="1" applyFill="1" applyBorder="1" applyAlignment="1" applyProtection="1">
      <alignment horizontal="center" vertical="center" wrapText="1"/>
      <protection locked="0"/>
    </xf>
    <xf numFmtId="168" fontId="13" fillId="8" borderId="17" xfId="4" applyNumberFormat="1" applyFont="1" applyFill="1" applyBorder="1" applyAlignment="1" applyProtection="1">
      <alignment horizontal="center" vertical="center" wrapText="1"/>
      <protection locked="0"/>
    </xf>
    <xf numFmtId="167" fontId="9" fillId="7" borderId="21" xfId="4" applyNumberFormat="1" applyFont="1" applyFill="1" applyBorder="1" applyAlignment="1" applyProtection="1">
      <alignment horizontal="center" vertical="center" wrapText="1"/>
      <protection locked="0"/>
    </xf>
    <xf numFmtId="167" fontId="9" fillId="7" borderId="4" xfId="4" applyNumberFormat="1" applyFont="1" applyFill="1" applyBorder="1" applyAlignment="1" applyProtection="1">
      <alignment horizontal="center" vertical="center" wrapText="1"/>
      <protection locked="0"/>
    </xf>
    <xf numFmtId="167" fontId="9" fillId="7" borderId="17" xfId="4" applyNumberFormat="1" applyFont="1" applyFill="1" applyBorder="1" applyAlignment="1" applyProtection="1">
      <alignment horizontal="center" vertical="center" wrapText="1"/>
      <protection locked="0"/>
    </xf>
    <xf numFmtId="167" fontId="13" fillId="7" borderId="21" xfId="4" applyNumberFormat="1" applyFont="1" applyFill="1" applyBorder="1" applyAlignment="1" applyProtection="1">
      <alignment horizontal="center" vertical="center" wrapText="1"/>
      <protection locked="0"/>
    </xf>
    <xf numFmtId="10" fontId="13" fillId="6" borderId="21" xfId="7" applyNumberFormat="1" applyFont="1" applyFill="1" applyBorder="1" applyAlignment="1" applyProtection="1">
      <alignment horizontal="center" vertical="center" wrapText="1"/>
      <protection hidden="1"/>
    </xf>
    <xf numFmtId="10" fontId="13" fillId="6" borderId="4" xfId="7" applyNumberFormat="1" applyFont="1" applyFill="1" applyBorder="1" applyAlignment="1" applyProtection="1">
      <alignment horizontal="center" vertical="center" wrapText="1"/>
      <protection hidden="1"/>
    </xf>
    <xf numFmtId="170" fontId="13" fillId="6" borderId="21" xfId="7" applyNumberFormat="1" applyFont="1" applyFill="1" applyBorder="1" applyAlignment="1" applyProtection="1">
      <alignment horizontal="center" vertical="center" wrapText="1"/>
      <protection locked="0"/>
    </xf>
    <xf numFmtId="170" fontId="13" fillId="6" borderId="4" xfId="7" applyNumberFormat="1" applyFont="1" applyFill="1" applyBorder="1" applyAlignment="1" applyProtection="1">
      <alignment horizontal="center" vertical="center" wrapText="1"/>
      <protection locked="0"/>
    </xf>
    <xf numFmtId="170" fontId="13" fillId="6" borderId="17" xfId="7" applyNumberFormat="1" applyFont="1" applyFill="1" applyBorder="1" applyAlignment="1" applyProtection="1">
      <alignment horizontal="center" vertical="center" wrapText="1"/>
      <protection locked="0"/>
    </xf>
    <xf numFmtId="171" fontId="13" fillId="12" borderId="21" xfId="7" applyNumberFormat="1" applyFont="1" applyFill="1" applyBorder="1" applyAlignment="1" applyProtection="1">
      <alignment horizontal="center" vertical="center" wrapText="1"/>
      <protection locked="0"/>
    </xf>
    <xf numFmtId="171" fontId="13" fillId="12" borderId="4" xfId="7" applyNumberFormat="1" applyFont="1" applyFill="1" applyBorder="1" applyAlignment="1" applyProtection="1">
      <alignment horizontal="center" vertical="center" wrapText="1"/>
      <protection locked="0"/>
    </xf>
    <xf numFmtId="171" fontId="13" fillId="12" borderId="17" xfId="7" applyNumberFormat="1" applyFont="1" applyFill="1" applyBorder="1" applyAlignment="1" applyProtection="1">
      <alignment horizontal="center" vertical="center" wrapText="1"/>
      <protection locked="0"/>
    </xf>
    <xf numFmtId="0" fontId="13" fillId="12" borderId="18" xfId="7" applyNumberFormat="1" applyFont="1" applyFill="1" applyBorder="1" applyAlignment="1" applyProtection="1">
      <alignment horizontal="center" vertical="center" wrapText="1"/>
      <protection locked="0"/>
    </xf>
    <xf numFmtId="0" fontId="13" fillId="12" borderId="22" xfId="7" applyNumberFormat="1" applyFont="1" applyFill="1" applyBorder="1" applyAlignment="1" applyProtection="1">
      <alignment horizontal="center" vertical="center" wrapText="1"/>
      <protection locked="0"/>
    </xf>
    <xf numFmtId="0" fontId="13" fillId="12" borderId="23" xfId="7" applyNumberFormat="1" applyFont="1" applyFill="1" applyBorder="1" applyAlignment="1" applyProtection="1">
      <alignment horizontal="center" vertical="center" wrapText="1"/>
      <protection locked="0"/>
    </xf>
    <xf numFmtId="49" fontId="44" fillId="0" borderId="0" xfId="5" applyNumberFormat="1" applyFont="1" applyAlignment="1">
      <alignment horizontal="left" vertical="center" wrapText="1"/>
    </xf>
    <xf numFmtId="171" fontId="13" fillId="0" borderId="0" xfId="7" applyNumberFormat="1" applyFont="1" applyFill="1" applyBorder="1" applyAlignment="1" applyProtection="1">
      <alignment horizontal="center" vertical="center" wrapText="1"/>
    </xf>
    <xf numFmtId="170" fontId="13" fillId="0" borderId="0" xfId="7" applyNumberFormat="1" applyFont="1" applyFill="1" applyBorder="1" applyAlignment="1" applyProtection="1">
      <alignment horizontal="center" vertical="center" wrapText="1"/>
    </xf>
    <xf numFmtId="170" fontId="45" fillId="7" borderId="6" xfId="7" applyNumberFormat="1" applyFont="1" applyFill="1" applyBorder="1" applyAlignment="1" applyProtection="1">
      <alignment horizontal="center" vertical="center" wrapText="1"/>
    </xf>
    <xf numFmtId="170" fontId="45" fillId="7" borderId="7" xfId="7" applyNumberFormat="1" applyFont="1" applyFill="1" applyBorder="1" applyAlignment="1" applyProtection="1">
      <alignment horizontal="center" vertical="center" wrapText="1"/>
    </xf>
    <xf numFmtId="170" fontId="45" fillId="7" borderId="8" xfId="7" applyNumberFormat="1" applyFont="1" applyFill="1" applyBorder="1" applyAlignment="1" applyProtection="1">
      <alignment horizontal="center" vertical="center" wrapText="1"/>
    </xf>
    <xf numFmtId="0" fontId="47" fillId="18" borderId="4" xfId="0" applyFont="1" applyFill="1" applyBorder="1" applyAlignment="1">
      <alignment vertical="center" wrapText="1"/>
    </xf>
    <xf numFmtId="0" fontId="9" fillId="11" borderId="4" xfId="8" applyFont="1" applyFill="1" applyBorder="1" applyAlignment="1" applyProtection="1">
      <alignment horizontal="center" vertical="center" wrapText="1"/>
    </xf>
    <xf numFmtId="0" fontId="47" fillId="18" borderId="9" xfId="0" applyFont="1" applyFill="1" applyBorder="1" applyAlignment="1">
      <alignment horizontal="justify" vertical="center" wrapText="1"/>
    </xf>
    <xf numFmtId="9" fontId="9" fillId="11" borderId="10" xfId="7" applyFont="1" applyFill="1" applyBorder="1" applyAlignment="1" applyProtection="1">
      <alignment horizontal="center" vertical="center"/>
      <protection locked="0"/>
    </xf>
    <xf numFmtId="9" fontId="9" fillId="11" borderId="11" xfId="7" applyFont="1" applyFill="1" applyBorder="1" applyAlignment="1" applyProtection="1">
      <alignment horizontal="center" vertical="center"/>
      <protection locked="0"/>
    </xf>
    <xf numFmtId="9" fontId="9" fillId="11" borderId="12" xfId="7" applyFont="1" applyFill="1" applyBorder="1" applyAlignment="1" applyProtection="1">
      <alignment horizontal="center" vertical="center"/>
      <protection locked="0"/>
    </xf>
    <xf numFmtId="9" fontId="9" fillId="11" borderId="16" xfId="7" applyFont="1" applyFill="1" applyBorder="1" applyAlignment="1" applyProtection="1">
      <alignment horizontal="center" vertical="center"/>
      <protection locked="0"/>
    </xf>
    <xf numFmtId="9" fontId="9" fillId="11" borderId="4" xfId="7" applyFont="1" applyFill="1" applyBorder="1" applyAlignment="1" applyProtection="1">
      <alignment horizontal="center" vertical="center"/>
      <protection locked="0"/>
    </xf>
    <xf numFmtId="9" fontId="9" fillId="11" borderId="17" xfId="7" applyFont="1" applyFill="1" applyBorder="1" applyAlignment="1" applyProtection="1">
      <alignment horizontal="center" vertical="center"/>
      <protection locked="0"/>
    </xf>
    <xf numFmtId="0" fontId="9" fillId="8" borderId="4" xfId="8" applyFont="1" applyFill="1" applyBorder="1" applyAlignment="1" applyProtection="1">
      <alignment horizontal="center" vertical="center" wrapText="1"/>
    </xf>
    <xf numFmtId="0" fontId="47" fillId="8" borderId="9" xfId="0" applyFont="1" applyFill="1" applyBorder="1" applyAlignment="1">
      <alignment horizontal="justify" vertical="center" wrapText="1"/>
    </xf>
    <xf numFmtId="0" fontId="47" fillId="8" borderId="28" xfId="0" applyFont="1" applyFill="1" applyBorder="1" applyAlignment="1">
      <alignment vertical="center" wrapText="1"/>
    </xf>
    <xf numFmtId="0" fontId="9" fillId="12" borderId="4" xfId="8" applyFont="1" applyFill="1" applyBorder="1" applyAlignment="1" applyProtection="1">
      <alignment horizontal="center" vertical="center" wrapText="1"/>
    </xf>
    <xf numFmtId="0" fontId="47" fillId="19" borderId="9" xfId="0" applyFont="1" applyFill="1" applyBorder="1" applyAlignment="1">
      <alignment horizontal="justify" vertical="center" wrapText="1"/>
    </xf>
    <xf numFmtId="9" fontId="9" fillId="12" borderId="16" xfId="7" applyFont="1" applyFill="1" applyBorder="1" applyAlignment="1" applyProtection="1">
      <alignment horizontal="center" vertical="center"/>
      <protection locked="0"/>
    </xf>
    <xf numFmtId="9" fontId="9" fillId="12" borderId="4" xfId="7" applyFont="1" applyFill="1" applyBorder="1" applyAlignment="1" applyProtection="1">
      <alignment horizontal="center" vertical="center"/>
      <protection locked="0"/>
    </xf>
    <xf numFmtId="9" fontId="9" fillId="12" borderId="17" xfId="7" applyFont="1" applyFill="1" applyBorder="1" applyAlignment="1" applyProtection="1">
      <alignment horizontal="center" vertical="center"/>
      <protection locked="0"/>
    </xf>
    <xf numFmtId="0" fontId="47" fillId="19" borderId="4" xfId="0" applyFont="1" applyFill="1" applyBorder="1" applyAlignment="1">
      <alignment vertical="center" wrapText="1"/>
    </xf>
    <xf numFmtId="0" fontId="9" fillId="6" borderId="4" xfId="8" applyFont="1" applyFill="1" applyBorder="1" applyAlignment="1" applyProtection="1">
      <alignment horizontal="center" vertical="center" wrapText="1"/>
    </xf>
    <xf numFmtId="9" fontId="9" fillId="6" borderId="16" xfId="7" applyFont="1" applyFill="1" applyBorder="1" applyAlignment="1" applyProtection="1">
      <alignment horizontal="center" vertical="center"/>
      <protection locked="0"/>
    </xf>
    <xf numFmtId="9" fontId="9" fillId="6" borderId="4" xfId="7" applyFont="1" applyFill="1" applyBorder="1" applyAlignment="1" applyProtection="1">
      <alignment horizontal="center" vertical="center"/>
      <protection locked="0"/>
    </xf>
    <xf numFmtId="9" fontId="9" fillId="6" borderId="17" xfId="7" applyFont="1" applyFill="1" applyBorder="1" applyAlignment="1" applyProtection="1">
      <alignment horizontal="center" vertical="center"/>
      <protection locked="0"/>
    </xf>
    <xf numFmtId="0" fontId="9" fillId="6" borderId="9" xfId="8" applyFont="1" applyFill="1" applyBorder="1" applyAlignment="1" applyProtection="1">
      <alignment horizontal="justify" vertical="center" wrapText="1"/>
      <protection locked="0"/>
    </xf>
    <xf numFmtId="0" fontId="9" fillId="6" borderId="22" xfId="8" applyFont="1" applyFill="1" applyBorder="1" applyAlignment="1" applyProtection="1">
      <alignment horizontal="center" vertical="center" wrapText="1"/>
    </xf>
    <xf numFmtId="0" fontId="9" fillId="6" borderId="32" xfId="8" applyFont="1" applyFill="1" applyBorder="1" applyAlignment="1" applyProtection="1">
      <alignment horizontal="justify" vertical="center" wrapText="1"/>
      <protection locked="0"/>
    </xf>
    <xf numFmtId="9" fontId="9" fillId="6" borderId="25" xfId="7" applyFont="1" applyFill="1" applyBorder="1" applyAlignment="1" applyProtection="1">
      <alignment horizontal="center" vertical="center"/>
      <protection locked="0"/>
    </xf>
    <xf numFmtId="9" fontId="9" fillId="6" borderId="22" xfId="7" applyFont="1" applyFill="1" applyBorder="1" applyAlignment="1" applyProtection="1">
      <alignment horizontal="center" vertical="center"/>
      <protection locked="0"/>
    </xf>
    <xf numFmtId="9" fontId="9" fillId="6" borderId="23" xfId="7" applyFont="1" applyFill="1" applyBorder="1" applyAlignment="1" applyProtection="1">
      <alignment horizontal="center" vertical="center"/>
      <protection locked="0"/>
    </xf>
    <xf numFmtId="0" fontId="49" fillId="0" borderId="0" xfId="5" applyFont="1" applyAlignment="1" applyProtection="1">
      <alignment vertical="center"/>
      <protection locked="0"/>
    </xf>
    <xf numFmtId="0" fontId="49" fillId="0" borderId="0" xfId="5" applyFont="1" applyAlignment="1" applyProtection="1">
      <alignment horizontal="center" vertical="center"/>
      <protection locked="0"/>
    </xf>
    <xf numFmtId="167" fontId="49" fillId="0" borderId="0" xfId="4" applyNumberFormat="1" applyFont="1" applyAlignment="1" applyProtection="1">
      <alignment horizontal="center" vertical="center"/>
      <protection locked="0"/>
    </xf>
    <xf numFmtId="167" fontId="49" fillId="0" borderId="0" xfId="4" applyNumberFormat="1" applyFont="1" applyAlignment="1" applyProtection="1">
      <alignment vertical="center"/>
      <protection locked="0"/>
    </xf>
    <xf numFmtId="0" fontId="13" fillId="0" borderId="4" xfId="5" applyFont="1" applyBorder="1" applyAlignment="1" applyProtection="1">
      <alignment vertical="center"/>
      <protection hidden="1"/>
    </xf>
    <xf numFmtId="10" fontId="13" fillId="0" borderId="4" xfId="7" applyNumberFormat="1" applyFont="1" applyBorder="1" applyAlignment="1" applyProtection="1">
      <alignment horizontal="center" vertical="center"/>
      <protection hidden="1"/>
    </xf>
    <xf numFmtId="0" fontId="49" fillId="0" borderId="0" xfId="5" applyFont="1" applyAlignment="1" applyProtection="1">
      <alignment vertical="center"/>
      <protection hidden="1"/>
    </xf>
    <xf numFmtId="0" fontId="13" fillId="0" borderId="0" xfId="5" applyFont="1" applyAlignment="1" applyProtection="1">
      <alignment vertical="center"/>
      <protection hidden="1"/>
    </xf>
    <xf numFmtId="167" fontId="13" fillId="0" borderId="0" xfId="4" applyNumberFormat="1" applyFont="1" applyAlignment="1" applyProtection="1">
      <alignment horizontal="center" vertical="center"/>
      <protection hidden="1"/>
    </xf>
    <xf numFmtId="167" fontId="13" fillId="0" borderId="0" xfId="4" applyNumberFormat="1" applyFont="1" applyAlignment="1" applyProtection="1">
      <alignment vertical="center"/>
      <protection hidden="1"/>
    </xf>
    <xf numFmtId="0" fontId="27" fillId="0" borderId="0" xfId="5" applyFont="1" applyAlignment="1" applyProtection="1">
      <alignment vertical="center" wrapText="1"/>
      <protection locked="0"/>
    </xf>
    <xf numFmtId="0" fontId="27" fillId="0" borderId="0" xfId="5" applyFont="1" applyAlignment="1" applyProtection="1">
      <alignment horizontal="center" vertical="center" wrapText="1"/>
      <protection locked="0"/>
    </xf>
    <xf numFmtId="10" fontId="13" fillId="0" borderId="4" xfId="2" applyNumberFormat="1" applyFont="1" applyBorder="1" applyAlignment="1" applyProtection="1">
      <alignment horizontal="center" vertical="center" wrapText="1"/>
      <protection hidden="1"/>
    </xf>
    <xf numFmtId="10" fontId="13" fillId="0" borderId="0" xfId="5" applyNumberFormat="1" applyFont="1" applyAlignment="1" applyProtection="1">
      <alignment vertical="center"/>
      <protection hidden="1"/>
    </xf>
    <xf numFmtId="9" fontId="28" fillId="0" borderId="0" xfId="7" applyFont="1" applyAlignment="1" applyProtection="1">
      <alignment vertical="center" wrapText="1"/>
      <protection hidden="1"/>
    </xf>
    <xf numFmtId="167" fontId="27" fillId="0" borderId="0" xfId="4" applyNumberFormat="1" applyFont="1" applyAlignment="1" applyProtection="1">
      <alignment horizontal="center" vertical="center" wrapText="1"/>
      <protection hidden="1"/>
    </xf>
    <xf numFmtId="167" fontId="27" fillId="0" borderId="0" xfId="4" applyNumberFormat="1" applyFont="1" applyAlignment="1" applyProtection="1">
      <alignment vertical="center" wrapText="1"/>
      <protection hidden="1"/>
    </xf>
    <xf numFmtId="0" fontId="27" fillId="0" borderId="0" xfId="5" applyFont="1" applyAlignment="1" applyProtection="1">
      <alignment vertical="center" wrapText="1"/>
      <protection hidden="1"/>
    </xf>
    <xf numFmtId="169" fontId="27" fillId="0" borderId="0" xfId="4" applyNumberFormat="1" applyFont="1" applyAlignment="1" applyProtection="1">
      <alignment horizontal="center" vertical="center" wrapText="1"/>
      <protection locked="0"/>
    </xf>
    <xf numFmtId="169" fontId="27" fillId="0" borderId="0" xfId="4" applyNumberFormat="1" applyFont="1" applyAlignment="1" applyProtection="1">
      <alignment vertical="center" wrapText="1"/>
      <protection locked="0"/>
    </xf>
    <xf numFmtId="0" fontId="27" fillId="0" borderId="0" xfId="5" applyFont="1" applyAlignment="1" applyProtection="1">
      <alignment horizontal="center" vertical="center"/>
      <protection locked="0"/>
    </xf>
    <xf numFmtId="167" fontId="27" fillId="0" borderId="0" xfId="4" applyNumberFormat="1" applyFont="1" applyAlignment="1" applyProtection="1">
      <alignment horizontal="left" vertical="center"/>
      <protection locked="0"/>
    </xf>
    <xf numFmtId="9" fontId="27" fillId="0" borderId="0" xfId="2" applyFont="1" applyAlignment="1" applyProtection="1">
      <alignment horizontal="center" vertical="center"/>
    </xf>
    <xf numFmtId="171" fontId="27" fillId="0" borderId="0" xfId="5" applyNumberFormat="1" applyFont="1" applyAlignment="1" applyProtection="1">
      <alignment vertical="center"/>
      <protection locked="0"/>
    </xf>
    <xf numFmtId="167" fontId="13" fillId="0" borderId="0" xfId="4" applyNumberFormat="1" applyFont="1" applyBorder="1" applyAlignment="1" applyProtection="1">
      <alignment horizontal="center" vertical="center" wrapText="1"/>
      <protection locked="0"/>
    </xf>
    <xf numFmtId="0" fontId="47" fillId="6" borderId="9" xfId="0" applyFont="1" applyFill="1" applyBorder="1" applyAlignment="1" applyProtection="1">
      <alignment horizontal="justify" vertical="center" wrapText="1"/>
      <protection locked="0"/>
    </xf>
    <xf numFmtId="0" fontId="9" fillId="6" borderId="4" xfId="8" applyFont="1" applyFill="1" applyBorder="1" applyAlignment="1" applyProtection="1">
      <alignment horizontal="center" vertical="center" wrapText="1"/>
      <protection locked="0" hidden="1"/>
    </xf>
    <xf numFmtId="0" fontId="28" fillId="7" borderId="6" xfId="4" applyNumberFormat="1" applyFont="1" applyFill="1" applyBorder="1" applyAlignment="1" applyProtection="1">
      <alignment horizontal="center" vertical="center" wrapText="1"/>
    </xf>
    <xf numFmtId="0" fontId="28" fillId="7" borderId="7" xfId="4" applyNumberFormat="1" applyFont="1" applyFill="1" applyBorder="1" applyAlignment="1" applyProtection="1">
      <alignment horizontal="center" vertical="center" wrapText="1"/>
    </xf>
    <xf numFmtId="0" fontId="23" fillId="0" borderId="77" xfId="0" applyFont="1" applyBorder="1" applyAlignment="1" applyProtection="1">
      <alignment vertical="center"/>
      <protection locked="0" hidden="1"/>
    </xf>
    <xf numFmtId="0" fontId="41" fillId="0" borderId="77" xfId="0" applyFont="1" applyBorder="1" applyProtection="1">
      <protection locked="0" hidden="1"/>
    </xf>
    <xf numFmtId="0" fontId="27" fillId="0" borderId="0" xfId="5" applyFont="1" applyAlignment="1">
      <alignment vertical="center"/>
    </xf>
    <xf numFmtId="167" fontId="27" fillId="0" borderId="0" xfId="4" applyNumberFormat="1" applyFont="1" applyAlignment="1" applyProtection="1">
      <alignment horizontal="center" vertical="center"/>
    </xf>
    <xf numFmtId="167" fontId="27" fillId="0" borderId="0" xfId="4" applyNumberFormat="1" applyFont="1" applyAlignment="1" applyProtection="1">
      <alignment horizontal="left" vertical="center"/>
    </xf>
    <xf numFmtId="0" fontId="27" fillId="0" borderId="0" xfId="5" applyFont="1" applyAlignment="1">
      <alignment horizontal="center" vertical="center"/>
    </xf>
    <xf numFmtId="0" fontId="53" fillId="13" borderId="15" xfId="10" applyFont="1" applyFill="1" applyBorder="1" applyAlignment="1">
      <alignment vertical="center" wrapText="1"/>
    </xf>
    <xf numFmtId="0" fontId="14" fillId="0" borderId="0" xfId="9" applyFont="1" applyAlignment="1">
      <alignment vertical="center"/>
    </xf>
    <xf numFmtId="0" fontId="53" fillId="13" borderId="17" xfId="10" applyFont="1" applyFill="1" applyBorder="1" applyAlignment="1">
      <alignment vertical="center" wrapText="1"/>
    </xf>
    <xf numFmtId="0" fontId="53" fillId="13" borderId="33" xfId="10" applyFont="1" applyFill="1" applyBorder="1" applyAlignment="1">
      <alignment vertical="center" wrapText="1"/>
    </xf>
    <xf numFmtId="0" fontId="51" fillId="27" borderId="43" xfId="0" applyFont="1" applyFill="1" applyBorder="1" applyAlignment="1">
      <alignment horizontal="center" vertical="center" wrapText="1"/>
    </xf>
    <xf numFmtId="0" fontId="37" fillId="27" borderId="43" xfId="0" applyFont="1" applyFill="1" applyBorder="1" applyAlignment="1">
      <alignment horizontal="center" vertical="center" wrapText="1"/>
    </xf>
    <xf numFmtId="167" fontId="27" fillId="0" borderId="43" xfId="4" applyNumberFormat="1" applyFont="1" applyBorder="1" applyAlignment="1" applyProtection="1">
      <alignment horizontal="center" vertical="center"/>
    </xf>
    <xf numFmtId="0" fontId="53" fillId="13" borderId="13" xfId="10" applyFont="1" applyFill="1" applyBorder="1" applyAlignment="1">
      <alignment vertical="center" wrapText="1"/>
    </xf>
    <xf numFmtId="0" fontId="14" fillId="28" borderId="42" xfId="0" applyFont="1" applyFill="1" applyBorder="1" applyAlignment="1">
      <alignment vertical="center" wrapText="1"/>
    </xf>
    <xf numFmtId="0" fontId="40" fillId="28" borderId="42" xfId="0" applyFont="1" applyFill="1" applyBorder="1" applyAlignment="1">
      <alignment vertical="center"/>
    </xf>
    <xf numFmtId="0" fontId="14" fillId="0" borderId="42" xfId="0" applyFont="1" applyBorder="1" applyAlignment="1">
      <alignment vertical="center" wrapText="1"/>
    </xf>
    <xf numFmtId="0" fontId="40" fillId="0" borderId="42" xfId="0" applyFont="1" applyBorder="1" applyAlignment="1">
      <alignment vertical="center"/>
    </xf>
    <xf numFmtId="0" fontId="9" fillId="13" borderId="13" xfId="11" applyFill="1" applyBorder="1" applyAlignment="1">
      <alignment vertical="center" wrapText="1"/>
    </xf>
    <xf numFmtId="0" fontId="14" fillId="0" borderId="44" xfId="0" applyFont="1" applyBorder="1" applyAlignment="1">
      <alignment vertical="center" wrapText="1"/>
    </xf>
    <xf numFmtId="0" fontId="40" fillId="0" borderId="44" xfId="0" applyFont="1" applyBorder="1" applyAlignment="1">
      <alignment vertical="center"/>
    </xf>
    <xf numFmtId="0" fontId="9" fillId="13" borderId="17" xfId="11" applyFill="1" applyBorder="1" applyAlignment="1">
      <alignment vertical="center" wrapText="1"/>
    </xf>
    <xf numFmtId="0" fontId="53" fillId="13" borderId="23" xfId="10" applyFont="1" applyFill="1" applyBorder="1" applyAlignment="1">
      <alignment vertical="center" wrapText="1"/>
    </xf>
    <xf numFmtId="0" fontId="14" fillId="0" borderId="14" xfId="0" applyFont="1" applyBorder="1" applyProtection="1">
      <protection locked="0"/>
    </xf>
    <xf numFmtId="44" fontId="14" fillId="0" borderId="14" xfId="17" applyFont="1" applyBorder="1" applyProtection="1">
      <protection locked="0"/>
    </xf>
    <xf numFmtId="0" fontId="14" fillId="0" borderId="4" xfId="0" applyFont="1" applyBorder="1" applyProtection="1">
      <protection locked="0"/>
    </xf>
    <xf numFmtId="44" fontId="14" fillId="0" borderId="4" xfId="17" applyFont="1" applyBorder="1" applyProtection="1">
      <protection locked="0"/>
    </xf>
    <xf numFmtId="0" fontId="14" fillId="0" borderId="20" xfId="0" applyFont="1" applyBorder="1" applyProtection="1">
      <protection locked="0"/>
    </xf>
    <xf numFmtId="44" fontId="14" fillId="0" borderId="20" xfId="17" applyFont="1" applyBorder="1" applyProtection="1">
      <protection locked="0"/>
    </xf>
    <xf numFmtId="0" fontId="14" fillId="0" borderId="66" xfId="0" applyFont="1" applyBorder="1" applyProtection="1">
      <protection locked="0"/>
    </xf>
    <xf numFmtId="44" fontId="14" fillId="0" borderId="66" xfId="17" applyFont="1" applyBorder="1" applyProtection="1">
      <protection locked="0"/>
    </xf>
    <xf numFmtId="0" fontId="14" fillId="0" borderId="14" xfId="0" applyFont="1" applyBorder="1" applyAlignment="1" applyProtection="1">
      <alignment vertical="center"/>
      <protection locked="0"/>
    </xf>
    <xf numFmtId="44" fontId="14" fillId="0" borderId="60" xfId="17" applyFont="1" applyBorder="1" applyProtection="1">
      <protection locked="0"/>
    </xf>
    <xf numFmtId="0" fontId="14" fillId="0" borderId="4" xfId="0" applyFont="1" applyBorder="1" applyAlignment="1" applyProtection="1">
      <alignment vertical="center"/>
      <protection locked="0"/>
    </xf>
    <xf numFmtId="0" fontId="14" fillId="0" borderId="66" xfId="0" applyFont="1" applyBorder="1" applyAlignment="1" applyProtection="1">
      <alignment vertical="center"/>
      <protection locked="0"/>
    </xf>
    <xf numFmtId="44" fontId="14" fillId="0" borderId="63" xfId="17" applyFont="1" applyBorder="1" applyProtection="1">
      <protection locked="0"/>
    </xf>
    <xf numFmtId="44" fontId="14" fillId="0" borderId="64" xfId="17" applyFont="1" applyBorder="1" applyProtection="1">
      <protection locked="0"/>
    </xf>
    <xf numFmtId="44" fontId="14" fillId="0" borderId="67" xfId="17" applyFont="1" applyBorder="1" applyProtection="1">
      <protection locked="0"/>
    </xf>
    <xf numFmtId="44" fontId="14" fillId="0" borderId="63" xfId="17" applyFont="1" applyBorder="1" applyAlignment="1" applyProtection="1">
      <alignment vertical="center"/>
      <protection locked="0"/>
    </xf>
    <xf numFmtId="44" fontId="14" fillId="0" borderId="63" xfId="17" applyFont="1" applyFill="1" applyBorder="1" applyAlignment="1" applyProtection="1">
      <alignment vertical="center"/>
      <protection locked="0"/>
    </xf>
    <xf numFmtId="165" fontId="14" fillId="0" borderId="63" xfId="1" applyFont="1" applyBorder="1" applyProtection="1">
      <protection locked="0"/>
    </xf>
    <xf numFmtId="0" fontId="14" fillId="0" borderId="62" xfId="0" applyFont="1" applyBorder="1" applyAlignment="1" applyProtection="1">
      <alignment horizontal="center"/>
      <protection locked="0"/>
    </xf>
    <xf numFmtId="0" fontId="14" fillId="0" borderId="75" xfId="0" applyFont="1" applyBorder="1" applyAlignment="1" applyProtection="1">
      <alignment horizontal="center"/>
      <protection locked="0"/>
    </xf>
    <xf numFmtId="0" fontId="14" fillId="0" borderId="65" xfId="0" applyFont="1" applyBorder="1" applyAlignment="1" applyProtection="1">
      <alignment horizontal="center"/>
      <protection locked="0"/>
    </xf>
    <xf numFmtId="164" fontId="25" fillId="0" borderId="63" xfId="14" applyFont="1" applyBorder="1" applyAlignment="1" applyProtection="1">
      <alignment horizontal="center" vertical="center"/>
    </xf>
    <xf numFmtId="164" fontId="25" fillId="0" borderId="64" xfId="14" applyFont="1" applyBorder="1" applyAlignment="1" applyProtection="1">
      <alignment horizontal="center" vertical="center"/>
    </xf>
    <xf numFmtId="164" fontId="11" fillId="13" borderId="58" xfId="12" applyNumberFormat="1" applyFont="1" applyFill="1" applyBorder="1" applyAlignment="1" applyProtection="1">
      <alignment horizontal="left" vertical="center" wrapText="1"/>
    </xf>
    <xf numFmtId="0" fontId="23" fillId="22" borderId="20" xfId="12" applyFont="1" applyBorder="1" applyAlignment="1" applyProtection="1">
      <alignment horizontal="center" vertical="center" wrapText="1"/>
      <protection hidden="1"/>
    </xf>
    <xf numFmtId="9" fontId="47" fillId="8" borderId="16" xfId="2" applyFont="1" applyFill="1" applyBorder="1" applyAlignment="1" applyProtection="1">
      <alignment horizontal="center" vertical="center" wrapText="1"/>
      <protection locked="0"/>
    </xf>
    <xf numFmtId="9" fontId="47" fillId="8" borderId="4" xfId="2" applyFont="1" applyFill="1" applyBorder="1" applyAlignment="1" applyProtection="1">
      <alignment horizontal="center" vertical="center" wrapText="1"/>
      <protection locked="0"/>
    </xf>
    <xf numFmtId="9" fontId="47" fillId="8" borderId="17" xfId="2" applyFont="1" applyFill="1" applyBorder="1" applyAlignment="1" applyProtection="1">
      <alignment horizontal="center" vertical="center" wrapText="1"/>
      <protection locked="0"/>
    </xf>
    <xf numFmtId="0" fontId="14" fillId="13" borderId="17" xfId="0" applyFont="1" applyFill="1" applyBorder="1" applyAlignment="1" applyProtection="1">
      <alignment horizontal="left" vertical="top"/>
      <protection locked="0"/>
    </xf>
    <xf numFmtId="0" fontId="14" fillId="13" borderId="23" xfId="0" applyFont="1" applyFill="1" applyBorder="1" applyAlignment="1" applyProtection="1">
      <alignment horizontal="left" vertical="top"/>
      <protection locked="0"/>
    </xf>
    <xf numFmtId="0" fontId="14" fillId="0" borderId="0" xfId="0" applyFont="1" applyAlignment="1" applyProtection="1">
      <alignment horizontal="left" wrapText="1"/>
      <protection hidden="1"/>
    </xf>
    <xf numFmtId="0" fontId="22" fillId="0" borderId="0" xfId="0" applyFont="1" applyAlignment="1" applyProtection="1">
      <alignment horizontal="center" vertical="center"/>
      <protection hidden="1"/>
    </xf>
    <xf numFmtId="0" fontId="47" fillId="11" borderId="0" xfId="0" applyFont="1" applyFill="1" applyAlignment="1" applyProtection="1">
      <alignment vertical="center"/>
      <protection hidden="1"/>
    </xf>
    <xf numFmtId="0" fontId="25" fillId="0" borderId="4" xfId="0" applyFont="1" applyBorder="1" applyAlignment="1">
      <alignment wrapText="1"/>
    </xf>
    <xf numFmtId="0" fontId="25" fillId="0" borderId="0" xfId="0" applyFont="1" applyAlignment="1">
      <alignment wrapText="1"/>
    </xf>
    <xf numFmtId="0" fontId="62" fillId="0" borderId="0" xfId="0" applyFont="1"/>
    <xf numFmtId="0" fontId="62" fillId="0" borderId="42" xfId="0" applyFont="1" applyBorder="1"/>
    <xf numFmtId="0" fontId="62" fillId="0" borderId="0" xfId="0" applyFont="1" applyAlignment="1">
      <alignment horizontal="center" vertical="center"/>
    </xf>
    <xf numFmtId="0" fontId="0" fillId="0" borderId="0" xfId="0" applyAlignment="1">
      <alignment horizontal="center" vertical="center"/>
    </xf>
    <xf numFmtId="0" fontId="19" fillId="42" borderId="4" xfId="0" applyFont="1" applyFill="1" applyBorder="1" applyAlignment="1">
      <alignment horizontal="center" vertical="center"/>
    </xf>
    <xf numFmtId="0" fontId="27" fillId="13" borderId="4" xfId="0" applyFont="1" applyFill="1" applyBorder="1" applyAlignment="1" applyProtection="1">
      <alignment horizontal="left" vertical="center" wrapText="1"/>
      <protection hidden="1"/>
    </xf>
    <xf numFmtId="0" fontId="27" fillId="20" borderId="0" xfId="0" applyFont="1" applyFill="1" applyAlignment="1" applyProtection="1">
      <alignment horizontal="right" vertical="center" wrapText="1"/>
      <protection hidden="1"/>
    </xf>
    <xf numFmtId="0" fontId="63" fillId="20" borderId="0" xfId="0" applyFont="1" applyFill="1"/>
    <xf numFmtId="9" fontId="62" fillId="0" borderId="89" xfId="2" applyFont="1" applyBorder="1"/>
    <xf numFmtId="9" fontId="62" fillId="0" borderId="90" xfId="2" applyFont="1" applyBorder="1"/>
    <xf numFmtId="167" fontId="64" fillId="31" borderId="4" xfId="24" applyNumberFormat="1" applyFont="1" applyFill="1" applyBorder="1" applyAlignment="1">
      <alignment horizontal="center" vertical="center"/>
    </xf>
    <xf numFmtId="9" fontId="47" fillId="0" borderId="4" xfId="2" applyFont="1" applyBorder="1" applyAlignment="1" applyProtection="1">
      <alignment horizontal="center" vertical="center"/>
      <protection hidden="1"/>
    </xf>
    <xf numFmtId="0" fontId="27" fillId="13" borderId="0" xfId="0" applyFont="1" applyFill="1" applyAlignment="1" applyProtection="1">
      <alignment horizontal="left" vertical="center" wrapText="1"/>
      <protection hidden="1"/>
    </xf>
    <xf numFmtId="0" fontId="63" fillId="20" borderId="0" xfId="0" applyFont="1" applyFill="1" applyAlignment="1">
      <alignment horizontal="center"/>
    </xf>
    <xf numFmtId="0" fontId="47" fillId="0" borderId="0" xfId="0" applyFont="1" applyAlignment="1" applyProtection="1">
      <alignment vertical="center"/>
      <protection hidden="1"/>
    </xf>
    <xf numFmtId="167" fontId="64" fillId="5" borderId="4" xfId="24" applyNumberFormat="1" applyFont="1" applyFill="1" applyBorder="1" applyAlignment="1">
      <alignment horizontal="center" vertical="center"/>
    </xf>
    <xf numFmtId="0" fontId="14" fillId="20" borderId="0" xfId="0" applyFont="1" applyFill="1"/>
    <xf numFmtId="0" fontId="62" fillId="0" borderId="44" xfId="0" applyFont="1" applyBorder="1"/>
    <xf numFmtId="9" fontId="62" fillId="0" borderId="91" xfId="2" applyFont="1" applyBorder="1"/>
    <xf numFmtId="9" fontId="62" fillId="0" borderId="91" xfId="2" applyFont="1" applyBorder="1" applyAlignment="1">
      <alignment horizontal="right"/>
    </xf>
    <xf numFmtId="41" fontId="62" fillId="0" borderId="0" xfId="19" applyFont="1" applyFill="1" applyBorder="1"/>
    <xf numFmtId="0" fontId="14" fillId="0" borderId="4" xfId="0" applyFont="1" applyBorder="1"/>
    <xf numFmtId="0" fontId="62" fillId="0" borderId="89" xfId="0" applyFont="1" applyBorder="1"/>
    <xf numFmtId="0" fontId="65" fillId="29" borderId="45" xfId="25" applyFont="1" applyFill="1" applyBorder="1" applyAlignment="1" applyProtection="1">
      <alignment vertical="center" wrapText="1"/>
      <protection hidden="1"/>
    </xf>
    <xf numFmtId="0" fontId="65" fillId="29" borderId="0" xfId="25" applyFont="1" applyFill="1" applyBorder="1" applyAlignment="1" applyProtection="1">
      <alignment vertical="center" wrapText="1"/>
      <protection hidden="1"/>
    </xf>
    <xf numFmtId="0" fontId="14" fillId="0" borderId="89" xfId="0" applyFont="1" applyBorder="1"/>
    <xf numFmtId="9" fontId="62" fillId="0" borderId="0" xfId="2" applyFont="1"/>
    <xf numFmtId="0" fontId="14" fillId="20" borderId="89" xfId="0" applyFont="1" applyFill="1" applyBorder="1" applyAlignment="1">
      <alignment wrapText="1"/>
    </xf>
    <xf numFmtId="0" fontId="14" fillId="20" borderId="0" xfId="0" applyFont="1" applyFill="1" applyAlignment="1">
      <alignment wrapText="1"/>
    </xf>
    <xf numFmtId="0" fontId="62" fillId="0" borderId="91" xfId="0" applyFont="1" applyBorder="1"/>
    <xf numFmtId="9" fontId="62" fillId="0" borderId="92" xfId="2" applyFont="1" applyBorder="1"/>
    <xf numFmtId="0" fontId="14" fillId="0" borderId="0" xfId="0" applyFont="1" applyAlignment="1">
      <alignment wrapText="1"/>
    </xf>
    <xf numFmtId="0" fontId="62" fillId="0" borderId="0" xfId="0" applyFont="1" applyAlignment="1">
      <alignment horizontal="left"/>
    </xf>
    <xf numFmtId="9" fontId="62" fillId="0" borderId="0" xfId="2" applyFont="1" applyAlignment="1">
      <alignment horizontal="left"/>
    </xf>
    <xf numFmtId="0" fontId="62" fillId="28" borderId="89" xfId="0" applyFont="1" applyFill="1" applyBorder="1"/>
    <xf numFmtId="0" fontId="14" fillId="20" borderId="89" xfId="0" applyFont="1" applyFill="1" applyBorder="1" applyAlignment="1">
      <alignment vertical="center" wrapText="1"/>
    </xf>
    <xf numFmtId="0" fontId="14" fillId="20" borderId="0" xfId="0" applyFont="1" applyFill="1" applyAlignment="1">
      <alignment vertical="center" wrapText="1"/>
    </xf>
    <xf numFmtId="0" fontId="14" fillId="0" borderId="0" xfId="0" applyFont="1" applyAlignment="1">
      <alignment vertical="center"/>
    </xf>
    <xf numFmtId="0" fontId="14" fillId="20" borderId="0" xfId="0" applyFont="1" applyFill="1" applyAlignment="1">
      <alignment vertical="center"/>
    </xf>
    <xf numFmtId="0" fontId="14" fillId="0" borderId="0" xfId="0" applyFont="1" applyAlignment="1">
      <alignment horizontal="left" vertical="center" wrapText="1"/>
    </xf>
    <xf numFmtId="0" fontId="14" fillId="28" borderId="89" xfId="0" applyFont="1" applyFill="1" applyBorder="1"/>
    <xf numFmtId="0" fontId="14" fillId="28" borderId="42" xfId="0" applyFont="1" applyFill="1" applyBorder="1"/>
    <xf numFmtId="0" fontId="14" fillId="20" borderId="42" xfId="0" applyFont="1" applyFill="1" applyBorder="1"/>
    <xf numFmtId="0" fontId="14" fillId="0" borderId="42" xfId="0" applyFont="1" applyBorder="1"/>
    <xf numFmtId="0" fontId="14" fillId="28" borderId="0" xfId="0" applyFont="1" applyFill="1"/>
    <xf numFmtId="0" fontId="66" fillId="0" borderId="0" xfId="0" applyFont="1"/>
    <xf numFmtId="0" fontId="14" fillId="0" borderId="0" xfId="0" applyFont="1" applyAlignment="1" applyProtection="1">
      <alignment horizontal="center" vertical="center"/>
      <protection hidden="1"/>
    </xf>
    <xf numFmtId="0" fontId="19" fillId="0" borderId="0" xfId="0" applyFont="1" applyAlignment="1" applyProtection="1">
      <alignment horizontal="center" vertical="center"/>
      <protection hidden="1"/>
    </xf>
    <xf numFmtId="0" fontId="14" fillId="0" borderId="0" xfId="0" applyFont="1" applyAlignment="1" applyProtection="1">
      <alignment horizontal="left"/>
      <protection hidden="1"/>
    </xf>
    <xf numFmtId="0" fontId="14" fillId="0" borderId="33" xfId="0" applyFont="1" applyBorder="1" applyAlignment="1" applyProtection="1">
      <alignment horizontal="right"/>
      <protection hidden="1"/>
    </xf>
    <xf numFmtId="9" fontId="14" fillId="0" borderId="0" xfId="0" applyNumberFormat="1" applyFont="1" applyProtection="1">
      <protection hidden="1"/>
    </xf>
    <xf numFmtId="0" fontId="14" fillId="0" borderId="13" xfId="0" applyFont="1" applyBorder="1" applyProtection="1">
      <protection locked="0"/>
    </xf>
    <xf numFmtId="0" fontId="25" fillId="13" borderId="0" xfId="0" applyFont="1" applyFill="1" applyAlignment="1" applyProtection="1">
      <alignment horizontal="center"/>
      <protection hidden="1"/>
    </xf>
    <xf numFmtId="0" fontId="47" fillId="0" borderId="0" xfId="0" applyFont="1" applyAlignment="1" applyProtection="1">
      <alignment vertical="center"/>
      <protection locked="0"/>
    </xf>
    <xf numFmtId="0" fontId="14" fillId="20" borderId="0" xfId="0" applyFont="1" applyFill="1" applyProtection="1">
      <protection hidden="1"/>
    </xf>
    <xf numFmtId="0" fontId="14" fillId="20" borderId="4" xfId="0" applyFont="1" applyFill="1" applyBorder="1" applyAlignment="1" applyProtection="1">
      <alignment horizontal="center"/>
      <protection hidden="1"/>
    </xf>
    <xf numFmtId="0" fontId="14" fillId="20" borderId="4" xfId="0" applyFont="1" applyFill="1" applyBorder="1" applyProtection="1">
      <protection hidden="1"/>
    </xf>
    <xf numFmtId="177" fontId="14" fillId="20" borderId="4" xfId="0" applyNumberFormat="1" applyFont="1" applyFill="1" applyBorder="1" applyProtection="1">
      <protection hidden="1"/>
    </xf>
    <xf numFmtId="177" fontId="14" fillId="0" borderId="0" xfId="17" applyNumberFormat="1" applyFont="1" applyProtection="1">
      <protection hidden="1"/>
    </xf>
    <xf numFmtId="177" fontId="14" fillId="20" borderId="4" xfId="17" applyNumberFormat="1" applyFont="1" applyFill="1" applyBorder="1" applyProtection="1">
      <protection hidden="1"/>
    </xf>
    <xf numFmtId="0" fontId="47" fillId="0" borderId="4" xfId="0" applyFont="1" applyBorder="1" applyAlignment="1" applyProtection="1">
      <alignment vertical="center"/>
      <protection hidden="1"/>
    </xf>
    <xf numFmtId="0" fontId="47" fillId="0" borderId="4" xfId="0" applyFont="1" applyBorder="1" applyAlignment="1" applyProtection="1">
      <alignment horizontal="left" vertical="center"/>
      <protection hidden="1"/>
    </xf>
    <xf numFmtId="0" fontId="54" fillId="0" borderId="0" xfId="0" applyFont="1" applyAlignment="1" applyProtection="1">
      <alignment horizontal="center" vertical="center"/>
      <protection locked="0"/>
    </xf>
    <xf numFmtId="0" fontId="47" fillId="0" borderId="0" xfId="0" applyFont="1" applyAlignment="1" applyProtection="1">
      <alignment horizontal="left" vertical="center"/>
      <protection hidden="1"/>
    </xf>
    <xf numFmtId="0" fontId="54" fillId="0" borderId="0" xfId="0" applyFont="1" applyAlignment="1" applyProtection="1">
      <alignment vertical="center"/>
      <protection locked="0"/>
    </xf>
    <xf numFmtId="0" fontId="35" fillId="0" borderId="0" xfId="0" applyFont="1" applyAlignment="1" applyProtection="1">
      <alignment vertical="center"/>
      <protection hidden="1"/>
    </xf>
    <xf numFmtId="0" fontId="47" fillId="0" borderId="0" xfId="0" applyFont="1" applyAlignment="1">
      <alignment vertical="center"/>
    </xf>
    <xf numFmtId="0" fontId="47" fillId="0" borderId="0" xfId="0" applyFont="1" applyAlignment="1">
      <alignment horizontal="center" vertical="center"/>
    </xf>
    <xf numFmtId="0" fontId="74" fillId="13" borderId="4" xfId="0" applyFont="1" applyFill="1" applyBorder="1" applyAlignment="1" applyProtection="1">
      <alignment horizontal="center" vertical="center" wrapText="1"/>
      <protection hidden="1"/>
    </xf>
    <xf numFmtId="0" fontId="65" fillId="13" borderId="4" xfId="0" applyFont="1" applyFill="1" applyBorder="1" applyAlignment="1" applyProtection="1">
      <alignment horizontal="center" vertical="center" wrapText="1"/>
      <protection hidden="1"/>
    </xf>
    <xf numFmtId="0" fontId="35" fillId="13" borderId="4" xfId="0" applyFont="1" applyFill="1" applyBorder="1" applyAlignment="1" applyProtection="1">
      <alignment horizontal="center" vertical="center" wrapText="1"/>
      <protection hidden="1"/>
    </xf>
    <xf numFmtId="0" fontId="47" fillId="13" borderId="0" xfId="0" applyFont="1" applyFill="1" applyAlignment="1" applyProtection="1">
      <alignment horizontal="center" vertical="center"/>
      <protection hidden="1"/>
    </xf>
    <xf numFmtId="0" fontId="35" fillId="13" borderId="0" xfId="0" applyFont="1" applyFill="1" applyAlignment="1" applyProtection="1">
      <alignment horizontal="center" vertical="center" wrapText="1"/>
      <protection hidden="1"/>
    </xf>
    <xf numFmtId="0" fontId="65" fillId="13" borderId="0" xfId="0" applyFont="1" applyFill="1" applyAlignment="1" applyProtection="1">
      <alignment horizontal="center" vertical="center" wrapText="1"/>
      <protection hidden="1"/>
    </xf>
    <xf numFmtId="0" fontId="47" fillId="36" borderId="4" xfId="0" applyFont="1" applyFill="1" applyBorder="1" applyAlignment="1" applyProtection="1">
      <alignment vertical="center"/>
      <protection locked="0" hidden="1"/>
    </xf>
    <xf numFmtId="0" fontId="47" fillId="13" borderId="0" xfId="0" applyFont="1" applyFill="1" applyAlignment="1" applyProtection="1">
      <alignment vertical="center"/>
      <protection locked="0" hidden="1"/>
    </xf>
    <xf numFmtId="0" fontId="47" fillId="13" borderId="0" xfId="0" applyFont="1" applyFill="1" applyAlignment="1">
      <alignment horizontal="center" vertical="center"/>
    </xf>
    <xf numFmtId="0" fontId="75" fillId="13" borderId="0" xfId="0" applyFont="1" applyFill="1" applyAlignment="1" applyProtection="1">
      <alignment vertical="center"/>
      <protection locked="0" hidden="1"/>
    </xf>
    <xf numFmtId="0" fontId="54" fillId="13" borderId="0" xfId="0" applyFont="1" applyFill="1" applyAlignment="1">
      <alignment horizontal="center" vertical="center"/>
    </xf>
    <xf numFmtId="0" fontId="9" fillId="0" borderId="4" xfId="0" applyFont="1" applyBorder="1" applyAlignment="1" applyProtection="1">
      <alignment horizontal="center" vertical="center"/>
      <protection hidden="1"/>
    </xf>
    <xf numFmtId="0" fontId="47" fillId="0" borderId="0" xfId="0" applyFont="1" applyAlignment="1" applyProtection="1">
      <alignment vertical="center"/>
      <protection locked="0" hidden="1"/>
    </xf>
    <xf numFmtId="0" fontId="54" fillId="13" borderId="0" xfId="0" applyFont="1" applyFill="1" applyAlignment="1" applyProtection="1">
      <alignment vertical="center"/>
      <protection locked="0" hidden="1"/>
    </xf>
    <xf numFmtId="0" fontId="54" fillId="13" borderId="0" xfId="0" applyFont="1" applyFill="1" applyAlignment="1" applyProtection="1">
      <alignment horizontal="center" vertical="center"/>
      <protection hidden="1"/>
    </xf>
    <xf numFmtId="0" fontId="47" fillId="13" borderId="0" xfId="0" applyFont="1" applyFill="1" applyAlignment="1" applyProtection="1">
      <alignment vertical="center"/>
      <protection hidden="1"/>
    </xf>
    <xf numFmtId="0" fontId="47" fillId="13" borderId="0" xfId="0" applyFont="1" applyFill="1" applyAlignment="1">
      <alignment vertical="center"/>
    </xf>
    <xf numFmtId="0" fontId="35" fillId="13" borderId="0" xfId="0" applyFont="1" applyFill="1" applyAlignment="1">
      <alignment horizontal="center" vertical="center"/>
    </xf>
    <xf numFmtId="0" fontId="35" fillId="13" borderId="0" xfId="0" applyFont="1" applyFill="1" applyAlignment="1" applyProtection="1">
      <alignment horizontal="center" vertical="center"/>
      <protection locked="0" hidden="1"/>
    </xf>
    <xf numFmtId="0" fontId="47" fillId="0" borderId="0" xfId="0" applyFont="1" applyAlignment="1" applyProtection="1">
      <alignment vertical="center" wrapText="1"/>
      <protection hidden="1"/>
    </xf>
    <xf numFmtId="0" fontId="35" fillId="13" borderId="0" xfId="0" applyFont="1" applyFill="1" applyAlignment="1" applyProtection="1">
      <alignment vertical="center"/>
      <protection hidden="1"/>
    </xf>
    <xf numFmtId="0" fontId="76" fillId="13" borderId="0" xfId="0" applyFont="1" applyFill="1" applyAlignment="1" applyProtection="1">
      <alignment vertical="center"/>
      <protection hidden="1"/>
    </xf>
    <xf numFmtId="0" fontId="35" fillId="13" borderId="0" xfId="0" applyFont="1" applyFill="1" applyAlignment="1" applyProtection="1">
      <alignment vertical="center" wrapText="1"/>
      <protection hidden="1"/>
    </xf>
    <xf numFmtId="0" fontId="35" fillId="13" borderId="0" xfId="0" applyFont="1" applyFill="1" applyAlignment="1" applyProtection="1">
      <alignment horizontal="center" vertical="center"/>
      <protection hidden="1"/>
    </xf>
    <xf numFmtId="0" fontId="35" fillId="0" borderId="14" xfId="0" applyFont="1" applyBorder="1" applyAlignment="1" applyProtection="1">
      <alignment horizontal="center" vertical="center"/>
      <protection hidden="1"/>
    </xf>
    <xf numFmtId="0" fontId="47" fillId="13" borderId="0" xfId="0" applyFont="1" applyFill="1" applyAlignment="1" applyProtection="1">
      <alignment vertical="center" wrapText="1"/>
      <protection hidden="1"/>
    </xf>
    <xf numFmtId="0" fontId="47" fillId="0" borderId="4" xfId="0" applyFont="1" applyBorder="1" applyAlignment="1" applyProtection="1">
      <alignment horizontal="center" vertical="center"/>
      <protection hidden="1"/>
    </xf>
    <xf numFmtId="0" fontId="47" fillId="0" borderId="0" xfId="0" applyFont="1" applyAlignment="1" applyProtection="1">
      <alignment horizontal="center" vertical="center"/>
      <protection hidden="1"/>
    </xf>
    <xf numFmtId="0" fontId="9" fillId="0" borderId="0" xfId="0" applyFont="1" applyAlignment="1" applyProtection="1">
      <alignment horizontal="justify" vertical="center" wrapText="1"/>
      <protection hidden="1"/>
    </xf>
    <xf numFmtId="10" fontId="47" fillId="0" borderId="0" xfId="0" applyNumberFormat="1" applyFont="1" applyAlignment="1" applyProtection="1">
      <alignment vertical="center"/>
      <protection hidden="1"/>
    </xf>
    <xf numFmtId="10" fontId="47" fillId="13" borderId="0" xfId="0" applyNumberFormat="1" applyFont="1" applyFill="1" applyAlignment="1" applyProtection="1">
      <alignment vertical="center"/>
      <protection hidden="1"/>
    </xf>
    <xf numFmtId="0" fontId="19" fillId="13" borderId="0" xfId="0" applyFont="1" applyFill="1" applyAlignment="1" applyProtection="1">
      <alignment vertical="center"/>
      <protection hidden="1"/>
    </xf>
    <xf numFmtId="0" fontId="77" fillId="13" borderId="0" xfId="0" applyFont="1" applyFill="1" applyAlignment="1" applyProtection="1">
      <alignment horizontal="center" vertical="center"/>
      <protection hidden="1"/>
    </xf>
    <xf numFmtId="0" fontId="77" fillId="13" borderId="4" xfId="0" applyFont="1" applyFill="1" applyBorder="1" applyAlignment="1" applyProtection="1">
      <alignment horizontal="center" vertical="center" wrapText="1"/>
      <protection hidden="1"/>
    </xf>
    <xf numFmtId="0" fontId="35" fillId="20" borderId="4" xfId="0" applyFont="1" applyFill="1" applyBorder="1" applyAlignment="1" applyProtection="1">
      <alignment horizontal="center" vertical="center"/>
      <protection hidden="1"/>
    </xf>
    <xf numFmtId="0" fontId="35" fillId="30" borderId="4" xfId="0" applyFont="1" applyFill="1" applyBorder="1" applyAlignment="1" applyProtection="1">
      <alignment horizontal="center" vertical="center"/>
      <protection hidden="1"/>
    </xf>
    <xf numFmtId="0" fontId="35" fillId="16" borderId="4" xfId="0" applyFont="1" applyFill="1" applyBorder="1" applyAlignment="1" applyProtection="1">
      <alignment horizontal="center" vertical="center"/>
      <protection hidden="1"/>
    </xf>
    <xf numFmtId="0" fontId="47" fillId="0" borderId="0" xfId="0" applyFont="1" applyAlignment="1" applyProtection="1">
      <alignment horizontal="justify" vertical="center"/>
      <protection hidden="1"/>
    </xf>
    <xf numFmtId="170" fontId="47" fillId="0" borderId="0" xfId="0" applyNumberFormat="1" applyFont="1" applyAlignment="1">
      <alignment horizontal="center" vertical="center"/>
    </xf>
    <xf numFmtId="0" fontId="35" fillId="11" borderId="4" xfId="0" applyFont="1" applyFill="1" applyBorder="1" applyAlignment="1" applyProtection="1">
      <alignment horizontal="center" vertical="center"/>
      <protection hidden="1"/>
    </xf>
    <xf numFmtId="0" fontId="74" fillId="11" borderId="4" xfId="0" applyFont="1" applyFill="1" applyBorder="1" applyAlignment="1" applyProtection="1">
      <alignment horizontal="center" vertical="center"/>
      <protection hidden="1"/>
    </xf>
    <xf numFmtId="0" fontId="35" fillId="11" borderId="4" xfId="0" applyFont="1" applyFill="1" applyBorder="1" applyAlignment="1" applyProtection="1">
      <alignment horizontal="center" vertical="center" wrapText="1"/>
      <protection hidden="1"/>
    </xf>
    <xf numFmtId="0" fontId="77" fillId="36" borderId="4" xfId="0" applyFont="1" applyFill="1" applyBorder="1" applyAlignment="1" applyProtection="1">
      <alignment horizontal="center" vertical="center"/>
      <protection hidden="1"/>
    </xf>
    <xf numFmtId="10" fontId="74" fillId="36" borderId="4" xfId="2" applyNumberFormat="1" applyFont="1" applyFill="1" applyBorder="1" applyAlignment="1" applyProtection="1">
      <alignment horizontal="center" vertical="center"/>
      <protection hidden="1"/>
    </xf>
    <xf numFmtId="0" fontId="35" fillId="29" borderId="4" xfId="0" applyFont="1" applyFill="1" applyBorder="1" applyAlignment="1" applyProtection="1">
      <alignment horizontal="justify" vertical="center"/>
      <protection hidden="1"/>
    </xf>
    <xf numFmtId="0" fontId="35" fillId="13" borderId="0" xfId="0" applyFont="1" applyFill="1" applyAlignment="1" applyProtection="1">
      <alignment horizontal="justify" vertical="center"/>
      <protection hidden="1"/>
    </xf>
    <xf numFmtId="0" fontId="35" fillId="13" borderId="4" xfId="0" applyFont="1" applyFill="1" applyBorder="1" applyAlignment="1" applyProtection="1">
      <alignment horizontal="center" vertical="center"/>
      <protection hidden="1"/>
    </xf>
    <xf numFmtId="10" fontId="35" fillId="0" borderId="4" xfId="0" applyNumberFormat="1" applyFont="1" applyBorder="1" applyAlignment="1" applyProtection="1">
      <alignment horizontal="center" vertical="center" wrapText="1"/>
      <protection hidden="1"/>
    </xf>
    <xf numFmtId="0" fontId="35" fillId="0" borderId="4" xfId="0" applyFont="1" applyBorder="1" applyAlignment="1" applyProtection="1">
      <alignment horizontal="center" vertical="center" wrapText="1"/>
      <protection hidden="1"/>
    </xf>
    <xf numFmtId="9" fontId="35" fillId="0" borderId="4" xfId="0" applyNumberFormat="1" applyFont="1" applyBorder="1" applyAlignment="1" applyProtection="1">
      <alignment horizontal="justify" vertical="center"/>
      <protection hidden="1"/>
    </xf>
    <xf numFmtId="9" fontId="47" fillId="13" borderId="0" xfId="0" applyNumberFormat="1" applyFont="1" applyFill="1" applyAlignment="1" applyProtection="1">
      <alignment horizontal="justify" vertical="center"/>
      <protection hidden="1"/>
    </xf>
    <xf numFmtId="0" fontId="47" fillId="13" borderId="0" xfId="0" applyFont="1" applyFill="1" applyAlignment="1" applyProtection="1">
      <alignment horizontal="justify" vertical="center"/>
      <protection hidden="1"/>
    </xf>
    <xf numFmtId="164" fontId="47" fillId="0" borderId="4" xfId="26" applyNumberFormat="1" applyFont="1" applyBorder="1" applyAlignment="1" applyProtection="1">
      <alignment vertical="center"/>
      <protection locked="0"/>
    </xf>
    <xf numFmtId="170" fontId="47" fillId="0" borderId="4" xfId="0" applyNumberFormat="1" applyFont="1" applyBorder="1" applyAlignment="1" applyProtection="1">
      <alignment horizontal="center" vertical="center"/>
      <protection locked="0"/>
    </xf>
    <xf numFmtId="175" fontId="35" fillId="0" borderId="4" xfId="26" applyNumberFormat="1" applyFont="1" applyFill="1" applyBorder="1" applyAlignment="1" applyProtection="1">
      <alignment horizontal="center" vertical="center"/>
      <protection hidden="1"/>
    </xf>
    <xf numFmtId="10" fontId="47" fillId="0" borderId="4" xfId="0" applyNumberFormat="1" applyFont="1" applyBorder="1" applyAlignment="1" applyProtection="1">
      <alignment horizontal="center" vertical="center"/>
      <protection hidden="1"/>
    </xf>
    <xf numFmtId="170" fontId="47" fillId="0" borderId="4" xfId="0" applyNumberFormat="1" applyFont="1" applyBorder="1" applyAlignment="1" applyProtection="1">
      <alignment horizontal="center" vertical="center"/>
      <protection hidden="1"/>
    </xf>
    <xf numFmtId="9" fontId="47" fillId="0" borderId="4" xfId="0" applyNumberFormat="1" applyFont="1" applyBorder="1" applyAlignment="1" applyProtection="1">
      <alignment horizontal="center" vertical="center"/>
      <protection hidden="1"/>
    </xf>
    <xf numFmtId="9" fontId="47" fillId="13" borderId="0" xfId="0" applyNumberFormat="1" applyFont="1" applyFill="1" applyAlignment="1" applyProtection="1">
      <alignment horizontal="center" vertical="center"/>
      <protection hidden="1"/>
    </xf>
    <xf numFmtId="0" fontId="35" fillId="0" borderId="4" xfId="0" applyFont="1" applyBorder="1" applyAlignment="1" applyProtection="1">
      <alignment horizontal="center" vertical="center"/>
      <protection locked="0" hidden="1"/>
    </xf>
    <xf numFmtId="175" fontId="35" fillId="0" borderId="4" xfId="26" applyNumberFormat="1" applyFont="1" applyFill="1" applyBorder="1" applyAlignment="1" applyProtection="1">
      <alignment vertical="center"/>
      <protection hidden="1"/>
    </xf>
    <xf numFmtId="175" fontId="47" fillId="0" borderId="4" xfId="0" applyNumberFormat="1" applyFont="1" applyBorder="1" applyAlignment="1" applyProtection="1">
      <alignment vertical="center"/>
      <protection hidden="1"/>
    </xf>
    <xf numFmtId="175" fontId="47" fillId="0" borderId="4" xfId="0" applyNumberFormat="1" applyFont="1" applyBorder="1" applyAlignment="1" applyProtection="1">
      <alignment horizontal="center" vertical="center"/>
      <protection hidden="1"/>
    </xf>
    <xf numFmtId="0" fontId="0" fillId="0" borderId="0" xfId="0" applyAlignment="1" applyProtection="1">
      <alignment vertical="center"/>
      <protection hidden="1"/>
    </xf>
    <xf numFmtId="0" fontId="78" fillId="13" borderId="0" xfId="0" applyFont="1" applyFill="1" applyAlignment="1" applyProtection="1">
      <alignment vertical="center"/>
      <protection hidden="1"/>
    </xf>
    <xf numFmtId="0" fontId="0" fillId="0" borderId="0" xfId="0" applyProtection="1">
      <protection locked="0"/>
    </xf>
    <xf numFmtId="0" fontId="0" fillId="0" borderId="0" xfId="0" applyAlignment="1" applyProtection="1">
      <alignment horizontal="center" vertical="center"/>
      <protection hidden="1"/>
    </xf>
    <xf numFmtId="0" fontId="0" fillId="0" borderId="0" xfId="0" applyAlignment="1" applyProtection="1">
      <alignment horizontal="right"/>
      <protection hidden="1"/>
    </xf>
    <xf numFmtId="0" fontId="79" fillId="13" borderId="0" xfId="0" applyFont="1" applyFill="1" applyAlignment="1" applyProtection="1">
      <alignment vertical="center"/>
      <protection hidden="1"/>
    </xf>
    <xf numFmtId="0" fontId="80" fillId="45" borderId="4" xfId="0" applyFont="1" applyFill="1" applyBorder="1" applyAlignment="1">
      <alignment horizontal="center" vertical="center"/>
    </xf>
    <xf numFmtId="0" fontId="0" fillId="0" borderId="0" xfId="0" applyAlignment="1" applyProtection="1">
      <alignment horizontal="center"/>
      <protection locked="0"/>
    </xf>
    <xf numFmtId="0" fontId="0" fillId="0" borderId="0" xfId="0" applyAlignment="1" applyProtection="1">
      <alignment horizontal="right"/>
      <protection locked="0"/>
    </xf>
    <xf numFmtId="0" fontId="79" fillId="13" borderId="0" xfId="0" applyFont="1" applyFill="1" applyAlignment="1" applyProtection="1">
      <alignment horizontal="center" vertical="center"/>
      <protection hidden="1"/>
    </xf>
    <xf numFmtId="0" fontId="80" fillId="20" borderId="4" xfId="0" applyFont="1" applyFill="1" applyBorder="1" applyAlignment="1">
      <alignment horizontal="center" vertical="center"/>
    </xf>
    <xf numFmtId="9" fontId="79" fillId="13" borderId="0" xfId="2" applyFont="1" applyFill="1" applyAlignment="1" applyProtection="1">
      <alignment horizontal="center" vertical="center"/>
      <protection hidden="1"/>
    </xf>
    <xf numFmtId="173" fontId="0" fillId="13" borderId="0" xfId="0" applyNumberFormat="1" applyFill="1" applyAlignment="1" applyProtection="1">
      <alignment horizontal="left" vertical="center"/>
      <protection hidden="1"/>
    </xf>
    <xf numFmtId="2" fontId="0" fillId="0" borderId="0" xfId="0" applyNumberFormat="1" applyAlignment="1" applyProtection="1">
      <alignment horizontal="center" vertical="center"/>
      <protection hidden="1"/>
    </xf>
    <xf numFmtId="173" fontId="78" fillId="13" borderId="0" xfId="0" applyNumberFormat="1" applyFont="1" applyFill="1" applyAlignment="1" applyProtection="1">
      <alignment vertical="center"/>
      <protection hidden="1"/>
    </xf>
    <xf numFmtId="10" fontId="72" fillId="13" borderId="0" xfId="0" applyNumberFormat="1" applyFont="1" applyFill="1" applyAlignment="1" applyProtection="1">
      <alignment vertical="center"/>
      <protection hidden="1"/>
    </xf>
    <xf numFmtId="0" fontId="72" fillId="13" borderId="0" xfId="0" applyFont="1" applyFill="1" applyAlignment="1" applyProtection="1">
      <alignment vertical="center"/>
      <protection hidden="1"/>
    </xf>
    <xf numFmtId="0" fontId="0" fillId="0" borderId="0" xfId="0" applyAlignment="1" applyProtection="1">
      <alignment horizontal="left" vertical="center"/>
      <protection hidden="1"/>
    </xf>
    <xf numFmtId="2" fontId="81" fillId="13" borderId="0" xfId="0" applyNumberFormat="1" applyFont="1" applyFill="1" applyAlignment="1" applyProtection="1">
      <alignment vertical="center" wrapText="1"/>
      <protection hidden="1"/>
    </xf>
    <xf numFmtId="0" fontId="82" fillId="13" borderId="0" xfId="0" applyFont="1" applyFill="1" applyAlignment="1" applyProtection="1">
      <alignment vertical="center" wrapText="1"/>
      <protection hidden="1"/>
    </xf>
    <xf numFmtId="0" fontId="83" fillId="21" borderId="4" xfId="0" applyFont="1" applyFill="1" applyBorder="1" applyAlignment="1">
      <alignment horizontal="center" vertical="center"/>
    </xf>
    <xf numFmtId="0" fontId="59" fillId="0" borderId="0" xfId="0" applyFont="1" applyAlignment="1" applyProtection="1">
      <alignment vertical="center"/>
      <protection hidden="1"/>
    </xf>
    <xf numFmtId="0" fontId="0" fillId="0" borderId="0" xfId="0" applyAlignment="1">
      <alignment vertical="center"/>
    </xf>
    <xf numFmtId="0" fontId="84" fillId="0" borderId="0" xfId="0" applyFont="1" applyAlignment="1">
      <alignment horizontal="center" vertical="center"/>
    </xf>
    <xf numFmtId="0" fontId="78" fillId="0" borderId="0" xfId="0" applyFont="1" applyAlignment="1" applyProtection="1">
      <alignment vertical="center"/>
      <protection hidden="1"/>
    </xf>
    <xf numFmtId="0" fontId="86" fillId="0" borderId="0" xfId="0" applyFont="1" applyAlignment="1" applyProtection="1">
      <alignment horizontal="justify" vertical="center" wrapText="1"/>
      <protection hidden="1"/>
    </xf>
    <xf numFmtId="0" fontId="0" fillId="0" borderId="0" xfId="0" applyAlignment="1" applyProtection="1">
      <alignment vertical="center" wrapText="1"/>
      <protection hidden="1"/>
    </xf>
    <xf numFmtId="0" fontId="0" fillId="0" borderId="0" xfId="0" applyAlignment="1" applyProtection="1">
      <alignment horizontal="justify" vertical="center" wrapText="1"/>
      <protection hidden="1"/>
    </xf>
    <xf numFmtId="0" fontId="78" fillId="0" borderId="0" xfId="0" applyFont="1" applyAlignment="1" applyProtection="1">
      <alignment horizontal="center" vertical="center" wrapText="1"/>
      <protection hidden="1"/>
    </xf>
    <xf numFmtId="0" fontId="0" fillId="0" borderId="0" xfId="0" applyAlignment="1" applyProtection="1">
      <alignment horizontal="right" vertical="top"/>
      <protection hidden="1"/>
    </xf>
    <xf numFmtId="10" fontId="0" fillId="0" borderId="0" xfId="0" applyNumberFormat="1" applyAlignment="1" applyProtection="1">
      <alignment horizontal="center" vertical="top"/>
      <protection hidden="1"/>
    </xf>
    <xf numFmtId="9" fontId="0" fillId="0" borderId="0" xfId="0" applyNumberFormat="1" applyAlignment="1" applyProtection="1">
      <alignment horizontal="right" vertical="top"/>
      <protection hidden="1"/>
    </xf>
    <xf numFmtId="10" fontId="0" fillId="0" borderId="0" xfId="19" applyNumberFormat="1" applyFont="1" applyAlignment="1" applyProtection="1">
      <alignment horizontal="center" vertical="top"/>
      <protection hidden="1"/>
    </xf>
    <xf numFmtId="170" fontId="0" fillId="0" borderId="0" xfId="0" applyNumberFormat="1" applyAlignment="1" applyProtection="1">
      <alignment horizontal="center" vertical="top"/>
      <protection hidden="1"/>
    </xf>
    <xf numFmtId="10" fontId="0" fillId="0" borderId="0" xfId="19" applyNumberFormat="1" applyFont="1" applyAlignment="1" applyProtection="1">
      <alignment horizontal="right" vertical="top"/>
      <protection hidden="1"/>
    </xf>
    <xf numFmtId="10" fontId="92" fillId="0" borderId="4" xfId="2" applyNumberFormat="1" applyFont="1" applyFill="1" applyBorder="1" applyAlignment="1" applyProtection="1">
      <alignment horizontal="center" vertical="center"/>
      <protection locked="0"/>
    </xf>
    <xf numFmtId="0" fontId="0" fillId="0" borderId="0" xfId="0" applyProtection="1">
      <protection hidden="1"/>
    </xf>
    <xf numFmtId="0" fontId="93" fillId="0" borderId="0" xfId="0" applyFont="1" applyAlignment="1" applyProtection="1">
      <alignment vertical="top" wrapText="1"/>
      <protection locked="0"/>
    </xf>
    <xf numFmtId="0" fontId="59" fillId="0" borderId="4" xfId="0" applyFont="1" applyBorder="1" applyAlignment="1">
      <alignment horizontal="center" vertical="center" wrapText="1"/>
    </xf>
    <xf numFmtId="10" fontId="18" fillId="13" borderId="0" xfId="0" applyNumberFormat="1" applyFont="1" applyFill="1" applyAlignment="1" applyProtection="1">
      <alignment horizontal="center" vertical="top"/>
      <protection hidden="1"/>
    </xf>
    <xf numFmtId="8" fontId="95" fillId="0" borderId="0" xfId="0" applyNumberFormat="1" applyFont="1" applyAlignment="1">
      <alignment horizontal="justify" vertical="center"/>
    </xf>
    <xf numFmtId="10" fontId="58" fillId="13" borderId="0" xfId="0" applyNumberFormat="1" applyFont="1" applyFill="1" applyAlignment="1" applyProtection="1">
      <alignment horizontal="center" vertical="center"/>
      <protection hidden="1"/>
    </xf>
    <xf numFmtId="0" fontId="0" fillId="0" borderId="45" xfId="0" applyBorder="1" applyAlignment="1">
      <alignment vertical="center"/>
    </xf>
    <xf numFmtId="8" fontId="0" fillId="0" borderId="0" xfId="0" applyNumberFormat="1" applyAlignment="1">
      <alignment vertical="center"/>
    </xf>
    <xf numFmtId="10" fontId="18" fillId="0" borderId="0" xfId="0" applyNumberFormat="1" applyFont="1" applyAlignment="1" applyProtection="1">
      <alignment horizontal="center" vertical="top"/>
      <protection hidden="1"/>
    </xf>
    <xf numFmtId="10" fontId="58" fillId="0" borderId="0" xfId="0" applyNumberFormat="1" applyFont="1" applyAlignment="1" applyProtection="1">
      <alignment horizontal="center" vertical="center"/>
      <protection hidden="1"/>
    </xf>
    <xf numFmtId="0" fontId="0" fillId="0" borderId="0" xfId="0" applyAlignment="1">
      <alignment horizontal="right" vertical="top"/>
    </xf>
    <xf numFmtId="10" fontId="0" fillId="0" borderId="0" xfId="0" applyNumberFormat="1" applyAlignment="1">
      <alignment horizontal="center" vertical="top"/>
    </xf>
    <xf numFmtId="9" fontId="0" fillId="0" borderId="0" xfId="0" applyNumberFormat="1" applyAlignment="1">
      <alignment horizontal="right" vertical="top"/>
    </xf>
    <xf numFmtId="10" fontId="0" fillId="0" borderId="0" xfId="19" applyNumberFormat="1" applyFont="1" applyAlignment="1" applyProtection="1">
      <alignment horizontal="center" vertical="top"/>
    </xf>
    <xf numFmtId="170" fontId="0" fillId="0" borderId="0" xfId="0" applyNumberFormat="1" applyAlignment="1">
      <alignment horizontal="center" vertical="top"/>
    </xf>
    <xf numFmtId="10" fontId="0" fillId="0" borderId="0" xfId="19" applyNumberFormat="1" applyFont="1" applyAlignment="1" applyProtection="1">
      <alignment horizontal="right" vertical="top"/>
    </xf>
    <xf numFmtId="43" fontId="0" fillId="0" borderId="4" xfId="18" applyFont="1" applyBorder="1" applyAlignment="1" applyProtection="1">
      <alignment vertical="center"/>
      <protection hidden="1"/>
    </xf>
    <xf numFmtId="0" fontId="0" fillId="0" borderId="4" xfId="0" applyBorder="1" applyAlignment="1" applyProtection="1">
      <alignment vertical="center"/>
      <protection locked="0"/>
    </xf>
    <xf numFmtId="9" fontId="0" fillId="0" borderId="4" xfId="0" applyNumberFormat="1" applyBorder="1" applyAlignment="1" applyProtection="1">
      <alignment horizontal="center" vertical="center"/>
      <protection locked="0"/>
    </xf>
    <xf numFmtId="0" fontId="59" fillId="25" borderId="4" xfId="0" applyFont="1" applyFill="1" applyBorder="1" applyAlignment="1">
      <alignment horizontal="center" vertical="center"/>
    </xf>
    <xf numFmtId="41" fontId="0" fillId="0" borderId="4" xfId="19" applyFont="1" applyBorder="1" applyAlignment="1" applyProtection="1"/>
    <xf numFmtId="41" fontId="0" fillId="0" borderId="4" xfId="19" applyFont="1" applyFill="1" applyBorder="1" applyAlignment="1" applyProtection="1"/>
    <xf numFmtId="41" fontId="0" fillId="0" borderId="4" xfId="19" applyFont="1" applyBorder="1" applyAlignment="1" applyProtection="1">
      <protection locked="0"/>
    </xf>
    <xf numFmtId="9" fontId="0" fillId="0" borderId="0" xfId="2" applyFont="1" applyFill="1" applyBorder="1" applyAlignment="1" applyProtection="1">
      <alignment horizontal="center"/>
      <protection locked="0"/>
    </xf>
    <xf numFmtId="0" fontId="94" fillId="0" borderId="0" xfId="0" applyFont="1" applyProtection="1">
      <protection hidden="1"/>
    </xf>
    <xf numFmtId="0" fontId="59" fillId="25" borderId="4" xfId="0" applyFont="1" applyFill="1" applyBorder="1" applyAlignment="1" applyProtection="1">
      <alignment horizontal="center" vertical="center"/>
      <protection hidden="1"/>
    </xf>
    <xf numFmtId="0" fontId="59" fillId="25" borderId="9" xfId="0" applyFont="1" applyFill="1" applyBorder="1" applyAlignment="1" applyProtection="1">
      <alignment horizontal="center" vertical="center" wrapText="1"/>
      <protection hidden="1"/>
    </xf>
    <xf numFmtId="177" fontId="0" fillId="0" borderId="9" xfId="17" applyNumberFormat="1" applyFont="1" applyBorder="1" applyProtection="1"/>
    <xf numFmtId="0" fontId="0" fillId="0" borderId="4" xfId="0" applyBorder="1" applyAlignment="1" applyProtection="1">
      <alignment horizontal="center" vertical="center"/>
      <protection locked="0"/>
    </xf>
    <xf numFmtId="0" fontId="59" fillId="0" borderId="0" xfId="0" applyFont="1" applyAlignment="1" applyProtection="1">
      <alignment horizontal="center"/>
      <protection hidden="1"/>
    </xf>
    <xf numFmtId="0" fontId="99" fillId="0" borderId="0" xfId="0" applyFont="1" applyProtection="1">
      <protection hidden="1"/>
    </xf>
    <xf numFmtId="0" fontId="0" fillId="30" borderId="0" xfId="0" applyFill="1"/>
    <xf numFmtId="0" fontId="89" fillId="0" borderId="4" xfId="0" applyFont="1" applyBorder="1" applyAlignment="1" applyProtection="1">
      <alignment vertical="center"/>
      <protection hidden="1"/>
    </xf>
    <xf numFmtId="0" fontId="14" fillId="53" borderId="0" xfId="5" applyFont="1" applyFill="1" applyAlignment="1" applyProtection="1">
      <alignment vertical="center" wrapText="1"/>
      <protection locked="0"/>
    </xf>
    <xf numFmtId="0" fontId="47" fillId="0" borderId="4" xfId="0" applyFont="1" applyBorder="1" applyAlignment="1" applyProtection="1">
      <alignment vertical="center" wrapText="1"/>
      <protection hidden="1"/>
    </xf>
    <xf numFmtId="0" fontId="110" fillId="53" borderId="0" xfId="5" applyFont="1" applyFill="1" applyAlignment="1" applyProtection="1">
      <alignment vertical="center" wrapText="1"/>
      <protection locked="0"/>
    </xf>
    <xf numFmtId="0" fontId="47" fillId="0" borderId="4" xfId="0" applyFont="1" applyBorder="1" applyAlignment="1" applyProtection="1">
      <alignment horizontal="left" vertical="center" wrapText="1"/>
      <protection hidden="1"/>
    </xf>
    <xf numFmtId="0" fontId="111" fillId="0" borderId="0" xfId="0" applyFont="1" applyAlignment="1" applyProtection="1">
      <alignment wrapText="1"/>
      <protection hidden="1"/>
    </xf>
    <xf numFmtId="0" fontId="14" fillId="13" borderId="0" xfId="5" applyFont="1" applyFill="1" applyAlignment="1" applyProtection="1">
      <alignment vertical="center" wrapText="1"/>
      <protection locked="0"/>
    </xf>
    <xf numFmtId="0" fontId="10" fillId="53" borderId="4" xfId="5" applyFont="1" applyFill="1" applyBorder="1" applyAlignment="1">
      <alignment vertical="center" wrapText="1"/>
    </xf>
    <xf numFmtId="3" fontId="10" fillId="13" borderId="4" xfId="5" applyNumberFormat="1" applyFont="1" applyFill="1" applyBorder="1" applyAlignment="1">
      <alignment vertical="center" wrapText="1"/>
    </xf>
    <xf numFmtId="3" fontId="10" fillId="13" borderId="4" xfId="5" applyNumberFormat="1" applyFont="1" applyFill="1" applyBorder="1" applyAlignment="1" applyProtection="1">
      <alignment horizontal="right" vertical="center" wrapText="1"/>
      <protection locked="0"/>
    </xf>
    <xf numFmtId="2" fontId="28" fillId="53" borderId="0" xfId="5" applyNumberFormat="1" applyFont="1" applyFill="1" applyAlignment="1">
      <alignment horizontal="center" vertical="center" wrapText="1"/>
    </xf>
    <xf numFmtId="0" fontId="110" fillId="53" borderId="0" xfId="5" applyFont="1" applyFill="1" applyAlignment="1">
      <alignment vertical="center" wrapText="1"/>
    </xf>
    <xf numFmtId="0" fontId="10" fillId="53" borderId="20" xfId="5" applyFont="1" applyFill="1" applyBorder="1" applyAlignment="1">
      <alignment vertical="center" wrapText="1"/>
    </xf>
    <xf numFmtId="3" fontId="10" fillId="0" borderId="20" xfId="5" applyNumberFormat="1" applyFont="1" applyBorder="1" applyAlignment="1">
      <alignment vertical="center" wrapText="1"/>
    </xf>
    <xf numFmtId="3" fontId="10" fillId="0" borderId="4" xfId="5" applyNumberFormat="1" applyFont="1" applyBorder="1" applyAlignment="1" applyProtection="1">
      <alignment horizontal="right" vertical="center" wrapText="1"/>
      <protection locked="0"/>
    </xf>
    <xf numFmtId="3" fontId="20" fillId="20" borderId="4" xfId="5" applyNumberFormat="1" applyFont="1" applyFill="1" applyBorder="1" applyAlignment="1" applyProtection="1">
      <alignment vertical="center" wrapText="1"/>
      <protection locked="0"/>
    </xf>
    <xf numFmtId="3" fontId="10" fillId="0" borderId="4" xfId="5" applyNumberFormat="1" applyFont="1" applyBorder="1" applyAlignment="1">
      <alignment vertical="center" wrapText="1"/>
    </xf>
    <xf numFmtId="0" fontId="10" fillId="53" borderId="0" xfId="5" applyFont="1" applyFill="1" applyAlignment="1">
      <alignment vertical="center" wrapText="1"/>
    </xf>
    <xf numFmtId="3" fontId="10" fillId="13" borderId="0" xfId="5" applyNumberFormat="1" applyFont="1" applyFill="1" applyAlignment="1">
      <alignment vertical="center" wrapText="1"/>
    </xf>
    <xf numFmtId="0" fontId="20" fillId="13" borderId="0" xfId="5" applyFont="1" applyFill="1" applyAlignment="1" applyProtection="1">
      <alignment vertical="center" wrapText="1"/>
      <protection locked="0"/>
    </xf>
    <xf numFmtId="0" fontId="20" fillId="53" borderId="0" xfId="5" applyFont="1" applyFill="1" applyAlignment="1" applyProtection="1">
      <alignment vertical="center" wrapText="1"/>
      <protection locked="0"/>
    </xf>
    <xf numFmtId="2" fontId="10" fillId="13" borderId="0" xfId="5" applyNumberFormat="1" applyFont="1" applyFill="1" applyAlignment="1">
      <alignment horizontal="center" vertical="center" wrapText="1"/>
    </xf>
    <xf numFmtId="0" fontId="63" fillId="53" borderId="0" xfId="5" applyFont="1" applyFill="1" applyAlignment="1">
      <alignment vertical="center" wrapText="1"/>
    </xf>
    <xf numFmtId="0" fontId="63" fillId="53" borderId="0" xfId="5" applyFont="1" applyFill="1" applyAlignment="1">
      <alignment horizontal="justify" vertical="center" wrapText="1"/>
    </xf>
    <xf numFmtId="0" fontId="14" fillId="53" borderId="0" xfId="5" applyFont="1" applyFill="1" applyAlignment="1">
      <alignment vertical="center" wrapText="1"/>
    </xf>
    <xf numFmtId="0" fontId="11" fillId="55" borderId="0" xfId="5" applyFont="1" applyFill="1" applyAlignment="1">
      <alignment horizontal="left" vertical="center" wrapText="1"/>
    </xf>
    <xf numFmtId="0" fontId="115" fillId="55" borderId="0" xfId="5" applyFont="1" applyFill="1" applyAlignment="1">
      <alignment horizontal="center" vertical="center" wrapText="1"/>
    </xf>
    <xf numFmtId="0" fontId="115" fillId="55" borderId="26" xfId="5" applyFont="1" applyFill="1" applyBorder="1" applyAlignment="1">
      <alignment horizontal="center" vertical="center" wrapText="1"/>
    </xf>
    <xf numFmtId="0" fontId="115" fillId="55" borderId="73" xfId="5" applyFont="1" applyFill="1" applyBorder="1" applyAlignment="1">
      <alignment horizontal="center" vertical="center" wrapText="1"/>
    </xf>
    <xf numFmtId="0" fontId="115" fillId="55" borderId="52" xfId="5" applyFont="1" applyFill="1" applyBorder="1" applyAlignment="1">
      <alignment horizontal="center" vertical="center" wrapText="1"/>
    </xf>
    <xf numFmtId="0" fontId="28" fillId="55" borderId="16" xfId="5" applyFont="1" applyFill="1" applyBorder="1" applyAlignment="1">
      <alignment horizontal="center" vertical="center" wrapText="1"/>
    </xf>
    <xf numFmtId="0" fontId="28" fillId="55" borderId="14" xfId="5" applyFont="1" applyFill="1" applyBorder="1" applyAlignment="1">
      <alignment horizontal="center" vertical="center" wrapText="1"/>
    </xf>
    <xf numFmtId="0" fontId="28" fillId="55" borderId="61" xfId="5" applyFont="1" applyFill="1" applyBorder="1" applyAlignment="1">
      <alignment horizontal="center" vertical="center" wrapText="1"/>
    </xf>
    <xf numFmtId="0" fontId="28" fillId="55" borderId="31" xfId="5" applyFont="1" applyFill="1" applyBorder="1" applyAlignment="1">
      <alignment horizontal="center" vertical="center" wrapText="1"/>
    </xf>
    <xf numFmtId="0" fontId="28" fillId="55" borderId="15" xfId="5" applyFont="1" applyFill="1" applyBorder="1" applyAlignment="1">
      <alignment horizontal="center" vertical="center" wrapText="1"/>
    </xf>
    <xf numFmtId="0" fontId="27" fillId="53" borderId="16" xfId="5" applyFont="1" applyFill="1" applyBorder="1" applyAlignment="1" applyProtection="1">
      <alignment horizontal="center" vertical="center" wrapText="1"/>
      <protection locked="0"/>
    </xf>
    <xf numFmtId="0" fontId="116" fillId="53" borderId="4" xfId="5" applyFont="1" applyFill="1" applyBorder="1" applyAlignment="1" applyProtection="1">
      <alignment horizontal="justify" vertical="center" wrapText="1"/>
      <protection locked="0"/>
    </xf>
    <xf numFmtId="3" fontId="117" fillId="51" borderId="4" xfId="0" applyNumberFormat="1" applyFont="1" applyFill="1" applyBorder="1" applyAlignment="1" applyProtection="1">
      <alignment horizontal="right" vertical="center" wrapText="1"/>
      <protection locked="0"/>
    </xf>
    <xf numFmtId="3" fontId="117" fillId="13" borderId="4" xfId="0" applyNumberFormat="1" applyFont="1" applyFill="1" applyBorder="1" applyAlignment="1">
      <alignment horizontal="right" vertical="center" wrapText="1"/>
    </xf>
    <xf numFmtId="3" fontId="117" fillId="51" borderId="9" xfId="0" applyNumberFormat="1" applyFont="1" applyFill="1" applyBorder="1" applyAlignment="1" applyProtection="1">
      <alignment horizontal="right" vertical="center" wrapText="1"/>
      <protection locked="0"/>
    </xf>
    <xf numFmtId="3" fontId="117" fillId="51" borderId="9" xfId="0" applyNumberFormat="1" applyFont="1" applyFill="1" applyBorder="1" applyAlignment="1">
      <alignment horizontal="right" vertical="center" wrapText="1"/>
    </xf>
    <xf numFmtId="3" fontId="117" fillId="51" borderId="9" xfId="0" applyNumberFormat="1" applyFont="1" applyFill="1" applyBorder="1" applyAlignment="1" applyProtection="1">
      <alignment horizontal="center" vertical="center" wrapText="1"/>
      <protection locked="0"/>
    </xf>
    <xf numFmtId="0" fontId="14" fillId="53" borderId="17" xfId="5" applyFont="1" applyFill="1" applyBorder="1" applyAlignment="1" applyProtection="1">
      <alignment horizontal="center" vertical="center" wrapText="1"/>
      <protection locked="0"/>
    </xf>
    <xf numFmtId="3" fontId="117" fillId="20" borderId="4" xfId="0" applyNumberFormat="1" applyFont="1" applyFill="1" applyBorder="1" applyAlignment="1" applyProtection="1">
      <alignment horizontal="right" vertical="center" wrapText="1"/>
      <protection locked="0"/>
    </xf>
    <xf numFmtId="3" fontId="117" fillId="21" borderId="4" xfId="0" applyNumberFormat="1" applyFont="1" applyFill="1" applyBorder="1" applyAlignment="1" applyProtection="1">
      <alignment horizontal="right" vertical="center" wrapText="1"/>
      <protection locked="0"/>
    </xf>
    <xf numFmtId="0" fontId="50" fillId="53" borderId="4" xfId="5" applyFont="1" applyFill="1" applyBorder="1" applyAlignment="1" applyProtection="1">
      <alignment horizontal="justify" vertical="center" wrapText="1"/>
      <protection locked="0"/>
    </xf>
    <xf numFmtId="3" fontId="117" fillId="29" borderId="4" xfId="0" applyNumberFormat="1" applyFont="1" applyFill="1" applyBorder="1" applyAlignment="1" applyProtection="1">
      <alignment horizontal="right" vertical="center" wrapText="1"/>
      <protection locked="0"/>
    </xf>
    <xf numFmtId="0" fontId="27" fillId="53" borderId="103" xfId="5" applyFont="1" applyFill="1" applyBorder="1" applyAlignment="1">
      <alignment vertical="center" wrapText="1"/>
    </xf>
    <xf numFmtId="0" fontId="110" fillId="56" borderId="4" xfId="5" applyFont="1" applyFill="1" applyBorder="1" applyAlignment="1">
      <alignment horizontal="center" vertical="center" wrapText="1"/>
    </xf>
    <xf numFmtId="3" fontId="110" fillId="56" borderId="4" xfId="5" applyNumberFormat="1" applyFont="1" applyFill="1" applyBorder="1" applyAlignment="1">
      <alignment horizontal="right" vertical="center" wrapText="1"/>
    </xf>
    <xf numFmtId="3" fontId="110" fillId="56" borderId="64" xfId="5" applyNumberFormat="1" applyFont="1" applyFill="1" applyBorder="1" applyAlignment="1">
      <alignment horizontal="right" vertical="center" wrapText="1"/>
    </xf>
    <xf numFmtId="3" fontId="110" fillId="56" borderId="94" xfId="5" applyNumberFormat="1" applyFont="1" applyFill="1" applyBorder="1" applyAlignment="1">
      <alignment horizontal="right" vertical="center" wrapText="1"/>
    </xf>
    <xf numFmtId="0" fontId="118" fillId="56" borderId="81" xfId="16" applyFont="1" applyFill="1" applyBorder="1" applyAlignment="1" applyProtection="1">
      <alignment horizontal="center" vertical="center" wrapText="1"/>
    </xf>
    <xf numFmtId="0" fontId="118" fillId="56" borderId="82" xfId="16" applyFont="1" applyFill="1" applyBorder="1" applyAlignment="1" applyProtection="1">
      <alignment vertical="center" wrapText="1"/>
    </xf>
    <xf numFmtId="2" fontId="119" fillId="56" borderId="4" xfId="16" applyNumberFormat="1" applyFont="1" applyFill="1" applyBorder="1" applyAlignment="1" applyProtection="1">
      <alignment horizontal="center" vertical="center" wrapText="1"/>
    </xf>
    <xf numFmtId="0" fontId="117" fillId="53" borderId="46" xfId="5" applyFont="1" applyFill="1" applyBorder="1" applyAlignment="1">
      <alignment vertical="center" wrapText="1"/>
    </xf>
    <xf numFmtId="10" fontId="110" fillId="56" borderId="67" xfId="7" applyNumberFormat="1" applyFont="1" applyFill="1" applyBorder="1" applyAlignment="1">
      <alignment horizontal="center" vertical="center" wrapText="1"/>
    </xf>
    <xf numFmtId="10" fontId="110" fillId="56" borderId="115" xfId="7" applyNumberFormat="1" applyFont="1" applyFill="1" applyBorder="1" applyAlignment="1">
      <alignment horizontal="center" vertical="center" wrapText="1"/>
    </xf>
    <xf numFmtId="10" fontId="110" fillId="56" borderId="9" xfId="7" applyNumberFormat="1" applyFont="1" applyFill="1" applyBorder="1" applyAlignment="1">
      <alignment horizontal="center" vertical="center" wrapText="1"/>
    </xf>
    <xf numFmtId="10" fontId="110" fillId="56" borderId="4" xfId="7" applyNumberFormat="1" applyFont="1" applyFill="1" applyBorder="1" applyAlignment="1">
      <alignment horizontal="center" vertical="center" wrapText="1"/>
    </xf>
    <xf numFmtId="0" fontId="117" fillId="53" borderId="35" xfId="5" applyFont="1" applyFill="1" applyBorder="1" applyAlignment="1">
      <alignment vertical="center" wrapText="1"/>
    </xf>
    <xf numFmtId="3" fontId="115" fillId="53" borderId="35" xfId="5" applyNumberFormat="1" applyFont="1" applyFill="1" applyBorder="1" applyAlignment="1">
      <alignment vertical="center" wrapText="1"/>
    </xf>
    <xf numFmtId="0" fontId="110" fillId="53" borderId="77" xfId="5" applyFont="1" applyFill="1" applyBorder="1" applyAlignment="1">
      <alignment vertical="center" wrapText="1"/>
    </xf>
    <xf numFmtId="0" fontId="117" fillId="53" borderId="26" xfId="5" applyFont="1" applyFill="1" applyBorder="1" applyAlignment="1">
      <alignment vertical="center" wrapText="1"/>
    </xf>
    <xf numFmtId="0" fontId="117" fillId="53" borderId="0" xfId="5" applyFont="1" applyFill="1" applyAlignment="1">
      <alignment vertical="center" wrapText="1"/>
    </xf>
    <xf numFmtId="0" fontId="14" fillId="53" borderId="26" xfId="5" applyFont="1" applyFill="1" applyBorder="1" applyAlignment="1" applyProtection="1">
      <alignment vertical="center" wrapText="1"/>
      <protection locked="0"/>
    </xf>
    <xf numFmtId="0" fontId="28" fillId="55" borderId="4" xfId="5" applyFont="1" applyFill="1" applyBorder="1" applyAlignment="1">
      <alignment horizontal="center" vertical="center" wrapText="1"/>
    </xf>
    <xf numFmtId="0" fontId="28" fillId="55" borderId="17" xfId="5" applyFont="1" applyFill="1" applyBorder="1" applyAlignment="1">
      <alignment horizontal="center" vertical="center" wrapText="1"/>
    </xf>
    <xf numFmtId="3" fontId="117" fillId="13" borderId="4" xfId="0" applyNumberFormat="1" applyFont="1" applyFill="1" applyBorder="1" applyAlignment="1" applyProtection="1">
      <alignment horizontal="right" vertical="center" wrapText="1"/>
      <protection locked="0"/>
    </xf>
    <xf numFmtId="3" fontId="117" fillId="51" borderId="4" xfId="0" applyNumberFormat="1" applyFont="1" applyFill="1" applyBorder="1" applyAlignment="1">
      <alignment horizontal="right" vertical="center" wrapText="1"/>
    </xf>
    <xf numFmtId="0" fontId="117" fillId="53" borderId="4" xfId="5" applyFont="1" applyFill="1" applyBorder="1" applyAlignment="1" applyProtection="1">
      <alignment horizontal="justify" vertical="center" wrapText="1"/>
      <protection locked="0"/>
    </xf>
    <xf numFmtId="3" fontId="27" fillId="51" borderId="4" xfId="0" applyNumberFormat="1" applyFont="1" applyFill="1" applyBorder="1" applyAlignment="1" applyProtection="1">
      <alignment horizontal="right" vertical="center" wrapText="1"/>
      <protection locked="0"/>
    </xf>
    <xf numFmtId="0" fontId="27" fillId="53" borderId="16" xfId="5" applyFont="1" applyFill="1" applyBorder="1" applyAlignment="1" applyProtection="1">
      <alignment vertical="center" wrapText="1"/>
      <protection locked="0"/>
    </xf>
    <xf numFmtId="0" fontId="110" fillId="56" borderId="4" xfId="5" applyFont="1" applyFill="1" applyBorder="1" applyAlignment="1" applyProtection="1">
      <alignment horizontal="justify" vertical="center" wrapText="1"/>
      <protection locked="0"/>
    </xf>
    <xf numFmtId="3" fontId="110" fillId="56" borderId="9" xfId="5" applyNumberFormat="1" applyFont="1" applyFill="1" applyBorder="1" applyAlignment="1">
      <alignment horizontal="right" vertical="center" wrapText="1"/>
    </xf>
    <xf numFmtId="0" fontId="14" fillId="53" borderId="17" xfId="5" applyFont="1" applyFill="1" applyBorder="1" applyAlignment="1" applyProtection="1">
      <alignment vertical="center" wrapText="1"/>
      <protection locked="0"/>
    </xf>
    <xf numFmtId="0" fontId="117" fillId="53" borderId="66" xfId="5" applyFont="1" applyFill="1" applyBorder="1" applyAlignment="1">
      <alignment horizontal="right" vertical="center" wrapText="1"/>
    </xf>
    <xf numFmtId="4" fontId="119" fillId="56" borderId="4" xfId="16" applyNumberFormat="1" applyFont="1" applyFill="1" applyBorder="1" applyAlignment="1" applyProtection="1">
      <alignment horizontal="center" vertical="center" wrapText="1"/>
    </xf>
    <xf numFmtId="3" fontId="117" fillId="53" borderId="66" xfId="5" applyNumberFormat="1" applyFont="1" applyFill="1" applyBorder="1" applyAlignment="1">
      <alignment horizontal="right" vertical="center" wrapText="1"/>
    </xf>
    <xf numFmtId="10" fontId="110" fillId="56" borderId="115" xfId="5" applyNumberFormat="1" applyFont="1" applyFill="1" applyBorder="1" applyAlignment="1">
      <alignment horizontal="center" vertical="center" wrapText="1"/>
    </xf>
    <xf numFmtId="10" fontId="110" fillId="56" borderId="4" xfId="5" applyNumberFormat="1" applyFont="1" applyFill="1" applyBorder="1" applyAlignment="1">
      <alignment horizontal="center" vertical="center" wrapText="1"/>
    </xf>
    <xf numFmtId="10" fontId="110" fillId="56" borderId="94" xfId="7" applyNumberFormat="1" applyFont="1" applyFill="1" applyBorder="1" applyAlignment="1">
      <alignment horizontal="center" vertical="center" wrapText="1"/>
    </xf>
    <xf numFmtId="0" fontId="117" fillId="53" borderId="2" xfId="5" applyFont="1" applyFill="1" applyBorder="1" applyAlignment="1">
      <alignment vertical="center" wrapText="1"/>
    </xf>
    <xf numFmtId="3" fontId="117" fillId="53" borderId="2" xfId="5" applyNumberFormat="1" applyFont="1" applyFill="1" applyBorder="1" applyAlignment="1">
      <alignment vertical="center" wrapText="1"/>
    </xf>
    <xf numFmtId="10" fontId="110" fillId="56" borderId="119" xfId="7" applyNumberFormat="1" applyFont="1" applyFill="1" applyBorder="1" applyAlignment="1">
      <alignment horizontal="center" vertical="center" wrapText="1"/>
    </xf>
    <xf numFmtId="10" fontId="110" fillId="56" borderId="120" xfId="7" applyNumberFormat="1" applyFont="1" applyFill="1" applyBorder="1" applyAlignment="1">
      <alignment horizontal="center" vertical="center" wrapText="1"/>
    </xf>
    <xf numFmtId="10" fontId="110" fillId="56" borderId="121" xfId="7" applyNumberFormat="1" applyFont="1" applyFill="1" applyBorder="1" applyAlignment="1">
      <alignment horizontal="center" vertical="center" wrapText="1"/>
    </xf>
    <xf numFmtId="0" fontId="117" fillId="53" borderId="17" xfId="5" applyFont="1" applyFill="1" applyBorder="1" applyAlignment="1">
      <alignment vertical="center" wrapText="1"/>
    </xf>
    <xf numFmtId="0" fontId="121" fillId="53" borderId="0" xfId="16" applyFont="1" applyFill="1" applyAlignment="1" applyProtection="1">
      <alignment horizontal="center" vertical="center" wrapText="1"/>
    </xf>
    <xf numFmtId="3" fontId="28" fillId="56" borderId="4" xfId="5" applyNumberFormat="1" applyFont="1" applyFill="1" applyBorder="1" applyAlignment="1">
      <alignment horizontal="right" vertical="center" wrapText="1"/>
    </xf>
    <xf numFmtId="0" fontId="121" fillId="53" borderId="4" xfId="16" applyFont="1" applyFill="1" applyBorder="1" applyAlignment="1" applyProtection="1">
      <alignment horizontal="center" vertical="center" wrapText="1"/>
    </xf>
    <xf numFmtId="0" fontId="118" fillId="13" borderId="0" xfId="16" applyFont="1" applyFill="1" applyBorder="1" applyAlignment="1" applyProtection="1">
      <alignment horizontal="center" vertical="center" wrapText="1"/>
    </xf>
    <xf numFmtId="0" fontId="121" fillId="13" borderId="0" xfId="16" applyFont="1" applyFill="1" applyAlignment="1" applyProtection="1">
      <alignment horizontal="center" vertical="center" wrapText="1"/>
    </xf>
    <xf numFmtId="3" fontId="28" fillId="13" borderId="0" xfId="5" applyNumberFormat="1" applyFont="1" applyFill="1" applyAlignment="1">
      <alignment horizontal="right" vertical="center" wrapText="1"/>
    </xf>
    <xf numFmtId="3" fontId="110" fillId="13" borderId="0" xfId="5" applyNumberFormat="1" applyFont="1" applyFill="1" applyAlignment="1">
      <alignment horizontal="right" vertical="center" wrapText="1"/>
    </xf>
    <xf numFmtId="0" fontId="121" fillId="13" borderId="0" xfId="16" applyFont="1" applyFill="1" applyBorder="1" applyAlignment="1" applyProtection="1">
      <alignment horizontal="center" vertical="center" wrapText="1"/>
    </xf>
    <xf numFmtId="0" fontId="14" fillId="13" borderId="26" xfId="5" applyFont="1" applyFill="1" applyBorder="1" applyAlignment="1" applyProtection="1">
      <alignment vertical="center" wrapText="1"/>
      <protection locked="0"/>
    </xf>
    <xf numFmtId="0" fontId="122" fillId="13" borderId="0" xfId="16" applyFont="1" applyFill="1" applyBorder="1" applyAlignment="1" applyProtection="1">
      <alignment horizontal="justify" vertical="center" wrapText="1"/>
    </xf>
    <xf numFmtId="0" fontId="121" fillId="53" borderId="0" xfId="16" applyFont="1" applyFill="1" applyBorder="1" applyAlignment="1" applyProtection="1">
      <alignment horizontal="center" vertical="center" wrapText="1"/>
    </xf>
    <xf numFmtId="0" fontId="30" fillId="36" borderId="40" xfId="0" applyFont="1" applyFill="1" applyBorder="1" applyAlignment="1">
      <alignment horizontal="center" vertical="center" wrapText="1"/>
    </xf>
    <xf numFmtId="0" fontId="35" fillId="13" borderId="0" xfId="0" applyFont="1" applyFill="1" applyAlignment="1">
      <alignment horizontal="justify" vertical="center" wrapText="1"/>
    </xf>
    <xf numFmtId="0" fontId="74" fillId="13" borderId="0" xfId="0" applyFont="1" applyFill="1" applyAlignment="1" applyProtection="1">
      <alignment horizontal="center" vertical="center" wrapText="1"/>
      <protection hidden="1"/>
    </xf>
    <xf numFmtId="0" fontId="35" fillId="13" borderId="26" xfId="0" applyFont="1" applyFill="1" applyBorder="1" applyAlignment="1" applyProtection="1">
      <alignment horizontal="center" vertical="center" wrapText="1"/>
      <protection hidden="1"/>
    </xf>
    <xf numFmtId="0" fontId="30" fillId="0" borderId="19" xfId="0" applyFont="1" applyBorder="1" applyAlignment="1">
      <alignment horizontal="center" vertical="center" wrapText="1"/>
    </xf>
    <xf numFmtId="0" fontId="124" fillId="0" borderId="19" xfId="0" applyFont="1" applyBorder="1" applyAlignment="1">
      <alignment horizontal="center" vertical="center" wrapText="1"/>
    </xf>
    <xf numFmtId="0" fontId="31" fillId="0" borderId="19" xfId="0" applyFont="1" applyBorder="1" applyAlignment="1">
      <alignment horizontal="center" vertical="center" wrapText="1"/>
    </xf>
    <xf numFmtId="0" fontId="33" fillId="0" borderId="19" xfId="0" applyFont="1" applyBorder="1" applyAlignment="1">
      <alignment horizontal="center" vertical="center" wrapText="1"/>
    </xf>
    <xf numFmtId="0" fontId="126" fillId="0" borderId="19" xfId="0" applyFont="1" applyBorder="1" applyAlignment="1">
      <alignment horizontal="center" vertical="center" wrapText="1"/>
    </xf>
    <xf numFmtId="0" fontId="127" fillId="13" borderId="0" xfId="0" applyFont="1" applyFill="1" applyAlignment="1" applyProtection="1">
      <alignment horizontal="center" vertical="center" wrapText="1"/>
      <protection hidden="1"/>
    </xf>
    <xf numFmtId="10" fontId="10" fillId="13" borderId="0" xfId="2" applyNumberFormat="1" applyFont="1" applyFill="1" applyBorder="1" applyAlignment="1" applyProtection="1">
      <alignment horizontal="center" vertical="center" wrapText="1"/>
      <protection hidden="1"/>
    </xf>
    <xf numFmtId="0" fontId="20" fillId="13" borderId="0" xfId="0" applyFont="1" applyFill="1" applyAlignment="1" applyProtection="1">
      <alignment horizontal="center" vertical="center" wrapText="1"/>
      <protection hidden="1"/>
    </xf>
    <xf numFmtId="3" fontId="20" fillId="13" borderId="0" xfId="0" applyNumberFormat="1" applyFont="1" applyFill="1" applyAlignment="1" applyProtection="1">
      <alignment horizontal="center" vertical="center" wrapText="1"/>
      <protection hidden="1"/>
    </xf>
    <xf numFmtId="3" fontId="20" fillId="13" borderId="26" xfId="0" applyNumberFormat="1" applyFont="1" applyFill="1" applyBorder="1" applyAlignment="1" applyProtection="1">
      <alignment vertical="center" wrapText="1"/>
      <protection hidden="1"/>
    </xf>
    <xf numFmtId="0" fontId="125" fillId="0" borderId="19" xfId="0" applyFont="1" applyBorder="1" applyAlignment="1">
      <alignment horizontal="center" vertical="center" wrapText="1"/>
    </xf>
    <xf numFmtId="0" fontId="32" fillId="0" borderId="19" xfId="0" applyFont="1" applyBorder="1" applyAlignment="1">
      <alignment horizontal="center" vertical="center" wrapText="1"/>
    </xf>
    <xf numFmtId="0" fontId="31" fillId="0" borderId="103" xfId="0" applyFont="1" applyBorder="1" applyAlignment="1">
      <alignment horizontal="center" vertical="center" wrapText="1"/>
    </xf>
    <xf numFmtId="0" fontId="32" fillId="0" borderId="0" xfId="0" applyFont="1" applyAlignment="1">
      <alignment horizontal="center" vertical="center" wrapText="1"/>
    </xf>
    <xf numFmtId="0" fontId="125" fillId="0" borderId="0" xfId="0" applyFont="1" applyAlignment="1">
      <alignment horizontal="center" vertical="center" wrapText="1"/>
    </xf>
    <xf numFmtId="0" fontId="20" fillId="0" borderId="26" xfId="0" applyFont="1" applyBorder="1" applyAlignment="1">
      <alignment vertical="center" wrapText="1"/>
    </xf>
    <xf numFmtId="0" fontId="24" fillId="0" borderId="14" xfId="22" applyFont="1" applyFill="1" applyBorder="1" applyAlignment="1" applyProtection="1">
      <alignment horizontal="center" vertical="center" wrapText="1"/>
      <protection hidden="1"/>
    </xf>
    <xf numFmtId="2" fontId="19" fillId="44" borderId="14" xfId="18" applyNumberFormat="1" applyFont="1" applyFill="1" applyBorder="1" applyAlignment="1" applyProtection="1">
      <alignment horizontal="justify" vertical="center" wrapText="1"/>
      <protection hidden="1"/>
    </xf>
    <xf numFmtId="0" fontId="24" fillId="0" borderId="14" xfId="22" applyFont="1" applyFill="1" applyBorder="1" applyAlignment="1" applyProtection="1">
      <alignment horizontal="justify" vertical="center" wrapText="1"/>
      <protection hidden="1"/>
    </xf>
    <xf numFmtId="0" fontId="20" fillId="0" borderId="0" xfId="0" applyFont="1" applyAlignment="1" applyProtection="1">
      <alignment horizontal="justify" vertical="center" wrapText="1"/>
      <protection hidden="1"/>
    </xf>
    <xf numFmtId="2" fontId="21" fillId="20" borderId="4" xfId="18" applyNumberFormat="1" applyFont="1" applyFill="1" applyBorder="1" applyAlignment="1" applyProtection="1">
      <alignment horizontal="center" vertical="center" wrapText="1"/>
      <protection hidden="1"/>
    </xf>
    <xf numFmtId="2" fontId="20" fillId="13" borderId="4" xfId="18" applyNumberFormat="1" applyFont="1" applyFill="1" applyBorder="1" applyAlignment="1" applyProtection="1">
      <alignment horizontal="justify" vertical="center" wrapText="1"/>
      <protection hidden="1"/>
    </xf>
    <xf numFmtId="0" fontId="29" fillId="0" borderId="103" xfId="0" applyFont="1" applyBorder="1" applyAlignment="1">
      <alignment horizontal="center" vertical="center" wrapText="1"/>
    </xf>
    <xf numFmtId="0" fontId="129" fillId="0" borderId="0" xfId="0" applyFont="1" applyAlignment="1">
      <alignment horizontal="center" vertical="center" wrapText="1"/>
    </xf>
    <xf numFmtId="0" fontId="132" fillId="0" borderId="0" xfId="0" applyFont="1" applyAlignment="1">
      <alignment horizontal="center" vertical="center" wrapText="1"/>
    </xf>
    <xf numFmtId="4" fontId="129" fillId="0" borderId="4" xfId="0" applyNumberFormat="1" applyFont="1" applyBorder="1" applyAlignment="1">
      <alignment horizontal="center" vertical="center" wrapText="1"/>
    </xf>
    <xf numFmtId="4" fontId="133" fillId="0" borderId="4" xfId="0" applyNumberFormat="1" applyFont="1" applyBorder="1" applyAlignment="1">
      <alignment horizontal="center" vertical="center" wrapText="1"/>
    </xf>
    <xf numFmtId="4" fontId="129" fillId="0" borderId="0" xfId="0" applyNumberFormat="1" applyFont="1" applyAlignment="1">
      <alignment horizontal="center" vertical="center" wrapText="1"/>
    </xf>
    <xf numFmtId="4" fontId="73" fillId="0" borderId="4" xfId="0" applyNumberFormat="1" applyFont="1" applyBorder="1" applyAlignment="1">
      <alignment horizontal="center" vertical="center" wrapText="1"/>
    </xf>
    <xf numFmtId="0" fontId="21" fillId="0" borderId="0" xfId="0" applyFont="1" applyAlignment="1">
      <alignment horizontal="center" vertical="center" wrapText="1"/>
    </xf>
    <xf numFmtId="4" fontId="133" fillId="0" borderId="0" xfId="0" applyNumberFormat="1" applyFont="1" applyAlignment="1">
      <alignment horizontal="center" vertical="center" wrapText="1"/>
    </xf>
    <xf numFmtId="4" fontId="73" fillId="0" borderId="0" xfId="0" applyNumberFormat="1" applyFont="1" applyAlignment="1">
      <alignment horizontal="center" vertical="center" wrapText="1"/>
    </xf>
    <xf numFmtId="0" fontId="35" fillId="11" borderId="4" xfId="0" applyFont="1" applyFill="1" applyBorder="1" applyAlignment="1">
      <alignment horizontal="justify" vertical="center" wrapText="1"/>
    </xf>
    <xf numFmtId="0" fontId="74" fillId="11" borderId="4" xfId="0" applyFont="1" applyFill="1" applyBorder="1" applyAlignment="1" applyProtection="1">
      <alignment horizontal="center" vertical="center" wrapText="1"/>
      <protection hidden="1"/>
    </xf>
    <xf numFmtId="0" fontId="10" fillId="11" borderId="4" xfId="0" applyFont="1" applyFill="1" applyBorder="1" applyAlignment="1" applyProtection="1">
      <alignment horizontal="center" vertical="center" wrapText="1"/>
      <protection hidden="1"/>
    </xf>
    <xf numFmtId="0" fontId="25" fillId="11" borderId="4" xfId="0" applyFont="1" applyFill="1" applyBorder="1" applyAlignment="1" applyProtection="1">
      <alignment horizontal="center" vertical="center" wrapText="1"/>
      <protection hidden="1"/>
    </xf>
    <xf numFmtId="0" fontId="127" fillId="36" borderId="4" xfId="0" applyFont="1" applyFill="1" applyBorder="1" applyAlignment="1" applyProtection="1">
      <alignment horizontal="center" vertical="center" wrapText="1"/>
      <protection hidden="1"/>
    </xf>
    <xf numFmtId="10" fontId="10" fillId="36" borderId="4" xfId="2" applyNumberFormat="1" applyFont="1" applyFill="1" applyBorder="1" applyAlignment="1" applyProtection="1">
      <alignment horizontal="center" vertical="center" wrapText="1"/>
      <protection hidden="1"/>
    </xf>
    <xf numFmtId="0" fontId="20" fillId="0" borderId="4" xfId="0" applyFont="1" applyBorder="1" applyAlignment="1" applyProtection="1">
      <alignment horizontal="center" vertical="center" wrapText="1"/>
      <protection hidden="1"/>
    </xf>
    <xf numFmtId="3" fontId="20" fillId="0" borderId="4" xfId="0" applyNumberFormat="1" applyFont="1" applyBorder="1" applyAlignment="1" applyProtection="1">
      <alignment horizontal="center" vertical="center" wrapText="1"/>
      <protection hidden="1"/>
    </xf>
    <xf numFmtId="3" fontId="20" fillId="0" borderId="4" xfId="0" applyNumberFormat="1" applyFont="1" applyBorder="1" applyAlignment="1" applyProtection="1">
      <alignment vertical="center" wrapText="1"/>
      <protection hidden="1"/>
    </xf>
    <xf numFmtId="0" fontId="73" fillId="13" borderId="0" xfId="21" applyFont="1" applyFill="1" applyBorder="1" applyAlignment="1">
      <alignment horizontal="center" vertical="center" wrapText="1"/>
    </xf>
    <xf numFmtId="0" fontId="112" fillId="38" borderId="19" xfId="21" applyFont="1" applyBorder="1" applyAlignment="1">
      <alignment horizontal="center" vertical="center" wrapText="1"/>
    </xf>
    <xf numFmtId="0" fontId="112" fillId="13" borderId="0" xfId="21" applyFont="1" applyFill="1" applyBorder="1" applyAlignment="1">
      <alignment horizontal="center" vertical="center" wrapText="1"/>
    </xf>
    <xf numFmtId="0" fontId="17" fillId="38" borderId="19" xfId="21" applyFont="1" applyBorder="1" applyAlignment="1">
      <alignment horizontal="center" vertical="center" wrapText="1"/>
    </xf>
    <xf numFmtId="0" fontId="137" fillId="4" borderId="40" xfId="16" applyFont="1" applyFill="1" applyBorder="1" applyAlignment="1" applyProtection="1">
      <alignment horizontal="center" vertical="center" wrapText="1"/>
    </xf>
    <xf numFmtId="0" fontId="137" fillId="13" borderId="0" xfId="16" applyFont="1" applyFill="1" applyBorder="1" applyAlignment="1" applyProtection="1">
      <alignment horizontal="center" vertical="center" wrapText="1"/>
    </xf>
    <xf numFmtId="0" fontId="17" fillId="38" borderId="125" xfId="21" applyFont="1" applyBorder="1" applyAlignment="1">
      <alignment horizontal="center" vertical="center" wrapText="1"/>
    </xf>
    <xf numFmtId="10" fontId="137" fillId="4" borderId="38" xfId="16" applyNumberFormat="1" applyFont="1" applyFill="1" applyBorder="1" applyAlignment="1" applyProtection="1">
      <alignment horizontal="center" vertical="center" wrapText="1"/>
    </xf>
    <xf numFmtId="0" fontId="60" fillId="0" borderId="0" xfId="0" applyFont="1" applyAlignment="1">
      <alignment horizontal="center" vertical="center" wrapText="1"/>
    </xf>
    <xf numFmtId="0" fontId="60" fillId="13" borderId="103" xfId="0" applyFont="1" applyFill="1" applyBorder="1" applyAlignment="1">
      <alignment horizontal="center" vertical="center" wrapText="1"/>
    </xf>
    <xf numFmtId="0" fontId="60" fillId="13" borderId="0" xfId="0" applyFont="1" applyFill="1" applyAlignment="1">
      <alignment horizontal="center" vertical="center" wrapText="1"/>
    </xf>
    <xf numFmtId="0" fontId="17" fillId="13" borderId="0" xfId="21" applyFont="1" applyFill="1" applyBorder="1" applyAlignment="1">
      <alignment horizontal="center" vertical="center" wrapText="1"/>
    </xf>
    <xf numFmtId="10" fontId="137" fillId="13" borderId="0" xfId="16" applyNumberFormat="1" applyFont="1" applyFill="1" applyBorder="1" applyAlignment="1" applyProtection="1">
      <alignment horizontal="center" vertical="center" wrapText="1"/>
    </xf>
    <xf numFmtId="0" fontId="140" fillId="6" borderId="19" xfId="5" applyFont="1" applyFill="1" applyBorder="1" applyAlignment="1">
      <alignment horizontal="center" vertical="center" wrapText="1"/>
    </xf>
    <xf numFmtId="0" fontId="141" fillId="46" borderId="19" xfId="5" applyFont="1" applyFill="1" applyBorder="1" applyAlignment="1">
      <alignment horizontal="center" vertical="center" wrapText="1"/>
    </xf>
    <xf numFmtId="9" fontId="141" fillId="46" borderId="19" xfId="7" applyFont="1" applyFill="1" applyBorder="1" applyAlignment="1">
      <alignment horizontal="center" vertical="center" wrapText="1"/>
    </xf>
    <xf numFmtId="0" fontId="140" fillId="13" borderId="0" xfId="5" applyFont="1" applyFill="1" applyAlignment="1">
      <alignment horizontal="center" vertical="center" wrapText="1"/>
    </xf>
    <xf numFmtId="0" fontId="141" fillId="13" borderId="0" xfId="5" applyFont="1" applyFill="1" applyAlignment="1">
      <alignment horizontal="center" vertical="center" wrapText="1"/>
    </xf>
    <xf numFmtId="9" fontId="141" fillId="13" borderId="0" xfId="7" applyFont="1" applyFill="1" applyBorder="1" applyAlignment="1">
      <alignment horizontal="center" vertical="center" wrapText="1"/>
    </xf>
    <xf numFmtId="0" fontId="140" fillId="6" borderId="38" xfId="5" applyFont="1" applyFill="1" applyBorder="1" applyAlignment="1">
      <alignment horizontal="center" vertical="center" wrapText="1"/>
    </xf>
    <xf numFmtId="0" fontId="140" fillId="6" borderId="38" xfId="5" applyFont="1" applyFill="1" applyBorder="1" applyAlignment="1">
      <alignment vertical="center" wrapText="1"/>
    </xf>
    <xf numFmtId="0" fontId="140" fillId="0" borderId="38" xfId="5" applyFont="1" applyBorder="1" applyAlignment="1">
      <alignment horizontal="center" vertical="center" wrapText="1"/>
    </xf>
    <xf numFmtId="0" fontId="140" fillId="13" borderId="104" xfId="5" applyFont="1" applyFill="1" applyBorder="1" applyAlignment="1">
      <alignment horizontal="center" vertical="center" wrapText="1"/>
    </xf>
    <xf numFmtId="0" fontId="140" fillId="13" borderId="2" xfId="5" applyFont="1" applyFill="1" applyBorder="1" applyAlignment="1">
      <alignment vertical="center" wrapText="1"/>
    </xf>
    <xf numFmtId="9" fontId="141" fillId="13" borderId="2" xfId="7" applyFont="1" applyFill="1" applyBorder="1" applyAlignment="1">
      <alignment horizontal="center" vertical="center" wrapText="1"/>
    </xf>
    <xf numFmtId="0" fontId="14" fillId="53" borderId="3" xfId="5" applyFont="1" applyFill="1" applyBorder="1" applyAlignment="1" applyProtection="1">
      <alignment vertical="center" wrapText="1"/>
      <protection locked="0"/>
    </xf>
    <xf numFmtId="0" fontId="140" fillId="13" borderId="0" xfId="5" applyFont="1" applyFill="1" applyAlignment="1">
      <alignment vertical="center" wrapText="1"/>
    </xf>
    <xf numFmtId="0" fontId="39" fillId="53" borderId="0" xfId="5" applyFont="1" applyFill="1" applyAlignment="1" applyProtection="1">
      <alignment vertical="center" wrapText="1"/>
      <protection locked="0"/>
    </xf>
    <xf numFmtId="0" fontId="25" fillId="47" borderId="0" xfId="0" applyFont="1" applyFill="1" applyAlignment="1">
      <alignment wrapText="1"/>
    </xf>
    <xf numFmtId="0" fontId="14" fillId="0" borderId="0" xfId="0" applyFont="1" applyAlignment="1">
      <alignment horizontal="justify" vertical="center" wrapText="1"/>
    </xf>
    <xf numFmtId="0" fontId="14" fillId="0" borderId="0" xfId="0" applyFont="1" applyAlignment="1" applyProtection="1">
      <alignment vertical="center"/>
      <protection hidden="1"/>
    </xf>
    <xf numFmtId="0" fontId="14" fillId="0" borderId="0" xfId="0" applyFont="1" applyAlignment="1" applyProtection="1">
      <alignment vertical="center"/>
      <protection locked="0"/>
    </xf>
    <xf numFmtId="0" fontId="19" fillId="0" borderId="0" xfId="0" applyFont="1" applyAlignment="1" applyProtection="1">
      <alignment vertical="center"/>
      <protection hidden="1"/>
    </xf>
    <xf numFmtId="0" fontId="25" fillId="0" borderId="0" xfId="0" applyFont="1" applyAlignment="1" applyProtection="1">
      <alignment horizontal="right" vertical="center"/>
      <protection hidden="1"/>
    </xf>
    <xf numFmtId="0" fontId="6" fillId="0" borderId="0" xfId="5" applyAlignment="1" applyProtection="1">
      <alignment vertical="center"/>
      <protection locked="0"/>
    </xf>
    <xf numFmtId="0" fontId="6" fillId="53" borderId="0" xfId="5" applyFill="1" applyAlignment="1" applyProtection="1">
      <alignment vertical="center"/>
      <protection locked="0"/>
    </xf>
    <xf numFmtId="0" fontId="102" fillId="0" borderId="0" xfId="5" applyFont="1" applyAlignment="1">
      <alignment vertical="center" wrapText="1"/>
    </xf>
    <xf numFmtId="0" fontId="71" fillId="0" borderId="0" xfId="0" applyFont="1" applyAlignment="1">
      <alignment vertical="center"/>
    </xf>
    <xf numFmtId="0" fontId="71" fillId="0" borderId="0" xfId="0" applyFont="1" applyAlignment="1">
      <alignment vertical="center" wrapText="1"/>
    </xf>
    <xf numFmtId="0" fontId="0" fillId="0" borderId="0" xfId="0" applyAlignment="1">
      <alignment vertical="center" wrapText="1"/>
    </xf>
    <xf numFmtId="9" fontId="0" fillId="0" borderId="0" xfId="2" applyFont="1" applyAlignment="1">
      <alignment vertical="center"/>
    </xf>
    <xf numFmtId="10" fontId="0" fillId="0" borderId="0" xfId="0" applyNumberFormat="1" applyAlignment="1">
      <alignment vertical="center"/>
    </xf>
    <xf numFmtId="0" fontId="143" fillId="60" borderId="16" xfId="5" applyFont="1" applyFill="1" applyBorder="1" applyAlignment="1" applyProtection="1">
      <alignment horizontal="justify" vertical="center" wrapText="1"/>
      <protection hidden="1"/>
    </xf>
    <xf numFmtId="9" fontId="144" fillId="60" borderId="4" xfId="7" applyFont="1" applyFill="1" applyBorder="1" applyAlignment="1" applyProtection="1">
      <alignment horizontal="center" vertical="center" wrapText="1"/>
      <protection hidden="1"/>
    </xf>
    <xf numFmtId="9" fontId="144" fillId="60" borderId="9" xfId="7" applyFont="1" applyFill="1" applyBorder="1" applyAlignment="1" applyProtection="1">
      <alignment horizontal="center" vertical="center" wrapText="1"/>
      <protection hidden="1"/>
    </xf>
    <xf numFmtId="9" fontId="145" fillId="41" borderId="4" xfId="23" applyNumberFormat="1" applyFont="1" applyBorder="1" applyAlignment="1" applyProtection="1">
      <alignment horizontal="center" vertical="center" wrapText="1"/>
      <protection hidden="1"/>
    </xf>
    <xf numFmtId="9" fontId="145" fillId="37" borderId="4" xfId="32" applyNumberFormat="1" applyFont="1" applyBorder="1" applyAlignment="1" applyProtection="1">
      <alignment horizontal="center" vertical="center" wrapText="1"/>
      <protection hidden="1"/>
    </xf>
    <xf numFmtId="9" fontId="147" fillId="59" borderId="4" xfId="7" applyFont="1" applyFill="1" applyBorder="1" applyAlignment="1" applyProtection="1">
      <alignment horizontal="center" vertical="center" wrapText="1"/>
      <protection hidden="1"/>
    </xf>
    <xf numFmtId="0" fontId="58" fillId="0" borderId="0" xfId="5" applyFont="1" applyAlignment="1">
      <alignment horizontal="justify" vertical="center" wrapText="1"/>
    </xf>
    <xf numFmtId="0" fontId="28" fillId="14" borderId="16" xfId="5" applyFont="1" applyFill="1" applyBorder="1" applyAlignment="1" applyProtection="1">
      <alignment horizontal="justify" vertical="center" wrapText="1"/>
      <protection hidden="1"/>
    </xf>
    <xf numFmtId="9" fontId="147" fillId="14" borderId="4" xfId="7" applyFont="1" applyFill="1" applyBorder="1" applyAlignment="1" applyProtection="1">
      <alignment horizontal="center" vertical="center" wrapText="1"/>
      <protection hidden="1"/>
    </xf>
    <xf numFmtId="9" fontId="147" fillId="14" borderId="9" xfId="7" applyFont="1" applyFill="1" applyBorder="1" applyAlignment="1" applyProtection="1">
      <alignment horizontal="center" vertical="center" wrapText="1"/>
      <protection hidden="1"/>
    </xf>
    <xf numFmtId="170" fontId="11" fillId="61" borderId="4" xfId="7" applyNumberFormat="1" applyFont="1" applyFill="1" applyBorder="1" applyAlignment="1" applyProtection="1">
      <alignment horizontal="center" vertical="center"/>
      <protection hidden="1"/>
    </xf>
    <xf numFmtId="0" fontId="148" fillId="13" borderId="0" xfId="5" applyFont="1" applyFill="1" applyAlignment="1">
      <alignment horizontal="center" vertical="center"/>
    </xf>
    <xf numFmtId="9" fontId="71" fillId="0" borderId="0" xfId="2" applyFont="1" applyAlignment="1">
      <alignment vertical="center"/>
    </xf>
    <xf numFmtId="9" fontId="0" fillId="0" borderId="0" xfId="0" applyNumberFormat="1" applyAlignment="1">
      <alignment vertical="center"/>
    </xf>
    <xf numFmtId="0" fontId="6" fillId="53" borderId="103" xfId="5" applyFill="1" applyBorder="1" applyAlignment="1" applyProtection="1">
      <alignment vertical="center"/>
      <protection locked="0"/>
    </xf>
    <xf numFmtId="9" fontId="71" fillId="0" borderId="0" xfId="0" applyNumberFormat="1" applyFont="1" applyAlignment="1">
      <alignment vertical="center"/>
    </xf>
    <xf numFmtId="0" fontId="0" fillId="0" borderId="103" xfId="0" applyBorder="1" applyAlignment="1">
      <alignment vertical="center"/>
    </xf>
    <xf numFmtId="0" fontId="10" fillId="62" borderId="62" xfId="5" applyFont="1" applyFill="1" applyBorder="1" applyAlignment="1" applyProtection="1">
      <alignment horizontal="center" vertical="center" wrapText="1"/>
      <protection hidden="1"/>
    </xf>
    <xf numFmtId="0" fontId="149" fillId="62" borderId="4" xfId="5" applyFont="1" applyFill="1" applyBorder="1" applyAlignment="1" applyProtection="1">
      <alignment horizontal="center" vertical="center"/>
      <protection hidden="1"/>
    </xf>
    <xf numFmtId="0" fontId="47" fillId="53" borderId="26" xfId="5" applyFont="1" applyFill="1" applyBorder="1" applyAlignment="1" applyProtection="1">
      <alignment vertical="center"/>
      <protection locked="0"/>
    </xf>
    <xf numFmtId="0" fontId="0" fillId="0" borderId="104" xfId="0" applyBorder="1" applyAlignment="1">
      <alignment vertical="center"/>
    </xf>
    <xf numFmtId="0" fontId="0" fillId="0" borderId="2" xfId="0" applyBorder="1" applyAlignment="1">
      <alignment vertical="center"/>
    </xf>
    <xf numFmtId="0" fontId="6" fillId="53" borderId="2" xfId="5" applyFill="1" applyBorder="1" applyAlignment="1" applyProtection="1">
      <alignment vertical="center"/>
      <protection locked="0"/>
    </xf>
    <xf numFmtId="0" fontId="10" fillId="62" borderId="127" xfId="5" applyFont="1" applyFill="1" applyBorder="1" applyAlignment="1" applyProtection="1">
      <alignment horizontal="center" vertical="center" wrapText="1"/>
      <protection hidden="1"/>
    </xf>
    <xf numFmtId="0" fontId="149" fillId="62" borderId="22" xfId="5" applyFont="1" applyFill="1" applyBorder="1" applyAlignment="1" applyProtection="1">
      <alignment horizontal="center" vertical="center"/>
      <protection hidden="1"/>
    </xf>
    <xf numFmtId="0" fontId="47" fillId="0" borderId="3" xfId="0" applyFont="1" applyBorder="1" applyAlignment="1">
      <alignment vertical="center"/>
    </xf>
    <xf numFmtId="0" fontId="10" fillId="0" borderId="0" xfId="5" applyFont="1" applyAlignment="1">
      <alignment horizontal="center" vertical="center" wrapText="1"/>
    </xf>
    <xf numFmtId="0" fontId="149" fillId="0" borderId="0" xfId="5" applyFont="1" applyAlignment="1">
      <alignment horizontal="center" vertical="center"/>
    </xf>
    <xf numFmtId="0" fontId="28" fillId="63" borderId="19" xfId="0" applyFont="1" applyFill="1" applyBorder="1" applyAlignment="1" applyProtection="1">
      <alignment horizontal="center" vertical="center"/>
      <protection hidden="1"/>
    </xf>
    <xf numFmtId="0" fontId="28" fillId="63" borderId="5" xfId="0" applyFont="1" applyFill="1" applyBorder="1" applyAlignment="1" applyProtection="1">
      <alignment horizontal="center" vertical="center"/>
      <protection hidden="1"/>
    </xf>
    <xf numFmtId="0" fontId="0" fillId="13" borderId="0" xfId="0" applyFill="1" applyAlignment="1">
      <alignment vertical="center"/>
    </xf>
    <xf numFmtId="0" fontId="10" fillId="13" borderId="0" xfId="5" applyFont="1" applyFill="1" applyAlignment="1">
      <alignment horizontal="center" vertical="center" wrapText="1"/>
    </xf>
    <xf numFmtId="0" fontId="149" fillId="13" borderId="0" xfId="5" applyFont="1" applyFill="1" applyAlignment="1">
      <alignment horizontal="center" vertical="center"/>
    </xf>
    <xf numFmtId="0" fontId="117" fillId="53" borderId="0" xfId="5" applyFont="1" applyFill="1" applyAlignment="1" applyProtection="1">
      <alignment vertical="center"/>
      <protection locked="0"/>
    </xf>
    <xf numFmtId="0" fontId="117" fillId="53" borderId="0" xfId="5" applyFont="1" applyFill="1" applyAlignment="1" applyProtection="1">
      <alignment horizontal="center" vertical="center"/>
      <protection locked="0"/>
    </xf>
    <xf numFmtId="0" fontId="53" fillId="53" borderId="0" xfId="5" applyFont="1" applyFill="1" applyAlignment="1" applyProtection="1">
      <alignment horizontal="center" vertical="center"/>
      <protection locked="0"/>
    </xf>
    <xf numFmtId="0" fontId="35" fillId="36" borderId="18" xfId="33" applyFont="1" applyFill="1" applyBorder="1" applyAlignment="1" applyProtection="1">
      <alignment horizontal="center" vertical="center" wrapText="1"/>
      <protection hidden="1"/>
    </xf>
    <xf numFmtId="0" fontId="35" fillId="36" borderId="22" xfId="33" applyFont="1" applyFill="1" applyBorder="1" applyAlignment="1" applyProtection="1">
      <alignment horizontal="center" vertical="center" wrapText="1"/>
      <protection hidden="1"/>
    </xf>
    <xf numFmtId="0" fontId="117" fillId="4" borderId="4" xfId="5" applyFont="1" applyFill="1" applyBorder="1" applyAlignment="1" applyProtection="1">
      <alignment horizontal="center" vertical="center" wrapText="1"/>
      <protection hidden="1"/>
    </xf>
    <xf numFmtId="0" fontId="151" fillId="4" borderId="4" xfId="5" applyFont="1" applyFill="1" applyBorder="1" applyAlignment="1" applyProtection="1">
      <alignment horizontal="justify" vertical="center" wrapText="1"/>
      <protection hidden="1"/>
    </xf>
    <xf numFmtId="4" fontId="151" fillId="15" borderId="4" xfId="5" applyNumberFormat="1" applyFont="1" applyFill="1" applyBorder="1" applyAlignment="1">
      <alignment horizontal="center" vertical="center" wrapText="1"/>
    </xf>
    <xf numFmtId="0" fontId="152" fillId="4" borderId="4" xfId="5" applyFont="1" applyFill="1" applyBorder="1" applyAlignment="1" applyProtection="1">
      <alignment horizontal="center" vertical="center" wrapText="1"/>
      <protection hidden="1"/>
    </xf>
    <xf numFmtId="0" fontId="9" fillId="4" borderId="4" xfId="5" applyFont="1" applyFill="1" applyBorder="1" applyAlignment="1" applyProtection="1">
      <alignment horizontal="justify" vertical="center" wrapText="1"/>
      <protection hidden="1"/>
    </xf>
    <xf numFmtId="0" fontId="53" fillId="4" borderId="4" xfId="5" applyFont="1" applyFill="1" applyBorder="1" applyAlignment="1" applyProtection="1">
      <alignment horizontal="center" vertical="center" wrapText="1"/>
      <protection hidden="1"/>
    </xf>
    <xf numFmtId="0" fontId="152" fillId="4" borderId="4" xfId="5" applyFont="1" applyFill="1" applyBorder="1" applyAlignment="1" applyProtection="1">
      <alignment horizontal="justify" vertical="center" wrapText="1"/>
      <protection hidden="1"/>
    </xf>
    <xf numFmtId="10" fontId="110" fillId="15" borderId="17" xfId="5" applyNumberFormat="1" applyFont="1" applyFill="1" applyBorder="1" applyAlignment="1" applyProtection="1">
      <alignment horizontal="center" vertical="center"/>
      <protection locked="0"/>
    </xf>
    <xf numFmtId="3" fontId="151" fillId="15" borderId="4" xfId="5" applyNumberFormat="1" applyFont="1" applyFill="1" applyBorder="1" applyAlignment="1">
      <alignment horizontal="center" vertical="center" wrapText="1"/>
    </xf>
    <xf numFmtId="0" fontId="27" fillId="4" borderId="4" xfId="5" applyFont="1" applyFill="1" applyBorder="1" applyAlignment="1" applyProtection="1">
      <alignment horizontal="center" vertical="center" wrapText="1"/>
      <protection hidden="1"/>
    </xf>
    <xf numFmtId="3" fontId="152" fillId="15" borderId="4" xfId="5" applyNumberFormat="1" applyFont="1" applyFill="1" applyBorder="1" applyAlignment="1">
      <alignment horizontal="center" vertical="center" wrapText="1"/>
    </xf>
    <xf numFmtId="4" fontId="152" fillId="15" borderId="4" xfId="5" applyNumberFormat="1" applyFont="1" applyFill="1" applyBorder="1" applyAlignment="1">
      <alignment horizontal="center" vertical="center" wrapText="1"/>
    </xf>
    <xf numFmtId="0" fontId="9" fillId="4" borderId="4" xfId="5" applyFont="1" applyFill="1" applyBorder="1" applyAlignment="1" applyProtection="1">
      <alignment horizontal="center" vertical="center" wrapText="1"/>
      <protection hidden="1"/>
    </xf>
    <xf numFmtId="10" fontId="28" fillId="15" borderId="17" xfId="5" applyNumberFormat="1" applyFont="1" applyFill="1" applyBorder="1" applyAlignment="1" applyProtection="1">
      <alignment horizontal="center" vertical="center"/>
      <protection locked="0"/>
    </xf>
    <xf numFmtId="0" fontId="151" fillId="15" borderId="4" xfId="5" applyFont="1" applyFill="1" applyBorder="1" applyAlignment="1">
      <alignment horizontal="justify" vertical="center" wrapText="1"/>
    </xf>
    <xf numFmtId="0" fontId="151" fillId="4" borderId="4" xfId="5" applyFont="1" applyFill="1" applyBorder="1" applyAlignment="1" applyProtection="1">
      <alignment horizontal="center" vertical="center" wrapText="1"/>
      <protection hidden="1"/>
    </xf>
    <xf numFmtId="0" fontId="53" fillId="15" borderId="4" xfId="5" applyFont="1" applyFill="1" applyBorder="1" applyAlignment="1">
      <alignment horizontal="center" vertical="center" wrapText="1"/>
    </xf>
    <xf numFmtId="0" fontId="9" fillId="15" borderId="4" xfId="5" applyFont="1" applyFill="1" applyBorder="1" applyAlignment="1">
      <alignment horizontal="center" vertical="center" wrapText="1"/>
    </xf>
    <xf numFmtId="0" fontId="14" fillId="15" borderId="4" xfId="0" applyFont="1" applyFill="1" applyBorder="1" applyAlignment="1">
      <alignment vertical="center"/>
    </xf>
    <xf numFmtId="0" fontId="65" fillId="15" borderId="4" xfId="5" applyFont="1" applyFill="1" applyBorder="1" applyAlignment="1">
      <alignment horizontal="center" vertical="center" textRotation="90" wrapText="1"/>
    </xf>
    <xf numFmtId="0" fontId="27" fillId="4" borderId="4" xfId="5" applyFont="1" applyFill="1" applyBorder="1" applyAlignment="1" applyProtection="1">
      <alignment horizontal="center" vertical="center" wrapText="1"/>
      <protection locked="0"/>
    </xf>
    <xf numFmtId="0" fontId="152" fillId="4" borderId="4" xfId="5" applyFont="1" applyFill="1" applyBorder="1" applyAlignment="1" applyProtection="1">
      <alignment horizontal="justify" vertical="center" wrapText="1"/>
      <protection locked="0"/>
    </xf>
    <xf numFmtId="0" fontId="151" fillId="15" borderId="4" xfId="5" applyFont="1" applyFill="1" applyBorder="1" applyAlignment="1" applyProtection="1">
      <alignment horizontal="justify" vertical="center" wrapText="1"/>
      <protection locked="0"/>
    </xf>
    <xf numFmtId="0" fontId="152" fillId="4" borderId="4" xfId="5" applyFont="1" applyFill="1" applyBorder="1" applyAlignment="1" applyProtection="1">
      <alignment horizontal="center" vertical="center" wrapText="1"/>
      <protection locked="0"/>
    </xf>
    <xf numFmtId="0" fontId="9" fillId="4" borderId="4" xfId="5" applyFont="1" applyFill="1" applyBorder="1" applyAlignment="1" applyProtection="1">
      <alignment horizontal="justify" vertical="center" wrapText="1"/>
      <protection locked="0"/>
    </xf>
    <xf numFmtId="0" fontId="53" fillId="4" borderId="4" xfId="5" applyFont="1" applyFill="1" applyBorder="1" applyAlignment="1" applyProtection="1">
      <alignment horizontal="center" vertical="center" wrapText="1"/>
      <protection locked="0"/>
    </xf>
    <xf numFmtId="0" fontId="151" fillId="4" borderId="4" xfId="5" applyFont="1" applyFill="1" applyBorder="1" applyAlignment="1" applyProtection="1">
      <alignment horizontal="justify" vertical="center" wrapText="1"/>
      <protection locked="0"/>
    </xf>
    <xf numFmtId="0" fontId="53" fillId="4" borderId="4" xfId="5" applyFont="1" applyFill="1" applyBorder="1" applyAlignment="1" applyProtection="1">
      <alignment horizontal="justify" vertical="center" wrapText="1"/>
      <protection hidden="1"/>
    </xf>
    <xf numFmtId="0" fontId="53" fillId="4" borderId="20" xfId="5" applyFont="1" applyFill="1" applyBorder="1" applyAlignment="1" applyProtection="1">
      <alignment horizontal="center" vertical="center" wrapText="1"/>
      <protection hidden="1"/>
    </xf>
    <xf numFmtId="0" fontId="151" fillId="4" borderId="20" xfId="5" applyFont="1" applyFill="1" applyBorder="1" applyAlignment="1" applyProtection="1">
      <alignment horizontal="center" vertical="center" wrapText="1"/>
      <protection hidden="1"/>
    </xf>
    <xf numFmtId="0" fontId="27" fillId="4" borderId="22" xfId="5" applyFont="1" applyFill="1" applyBorder="1" applyAlignment="1" applyProtection="1">
      <alignment horizontal="center" vertical="center" wrapText="1"/>
      <protection hidden="1"/>
    </xf>
    <xf numFmtId="0" fontId="153" fillId="4" borderId="22" xfId="5" applyFont="1" applyFill="1" applyBorder="1" applyAlignment="1" applyProtection="1">
      <alignment horizontal="center" vertical="center" wrapText="1"/>
      <protection hidden="1"/>
    </xf>
    <xf numFmtId="0" fontId="152" fillId="15" borderId="22" xfId="5" applyFont="1" applyFill="1" applyBorder="1" applyAlignment="1">
      <alignment horizontal="justify" vertical="center" wrapText="1"/>
    </xf>
    <xf numFmtId="0" fontId="152" fillId="4" borderId="22" xfId="5" applyFont="1" applyFill="1" applyBorder="1" applyAlignment="1" applyProtection="1">
      <alignment horizontal="center" vertical="center" wrapText="1"/>
      <protection hidden="1"/>
    </xf>
    <xf numFmtId="0" fontId="9" fillId="4" borderId="22" xfId="5" applyFont="1" applyFill="1" applyBorder="1" applyAlignment="1" applyProtection="1">
      <alignment horizontal="justify" vertical="center" wrapText="1"/>
      <protection hidden="1"/>
    </xf>
    <xf numFmtId="0" fontId="9" fillId="4" borderId="22" xfId="5" applyFont="1" applyFill="1" applyBorder="1" applyAlignment="1" applyProtection="1">
      <alignment horizontal="center" vertical="center" wrapText="1"/>
      <protection hidden="1"/>
    </xf>
    <xf numFmtId="0" fontId="152" fillId="4" borderId="22" xfId="5" applyFont="1" applyFill="1" applyBorder="1" applyAlignment="1" applyProtection="1">
      <alignment horizontal="justify" vertical="center" wrapText="1"/>
      <protection hidden="1"/>
    </xf>
    <xf numFmtId="10" fontId="28" fillId="15" borderId="23" xfId="5" applyNumberFormat="1" applyFont="1" applyFill="1" applyBorder="1" applyAlignment="1" applyProtection="1">
      <alignment horizontal="center" vertical="center"/>
      <protection locked="0"/>
    </xf>
    <xf numFmtId="0" fontId="53" fillId="4" borderId="11" xfId="5" applyFont="1" applyFill="1" applyBorder="1" applyAlignment="1" applyProtection="1">
      <alignment horizontal="center" vertical="center" wrapText="1"/>
      <protection hidden="1"/>
    </xf>
    <xf numFmtId="9" fontId="110" fillId="15" borderId="12" xfId="5" applyNumberFormat="1" applyFont="1" applyFill="1" applyBorder="1" applyAlignment="1" applyProtection="1">
      <alignment horizontal="center" vertical="center"/>
      <protection locked="0"/>
    </xf>
    <xf numFmtId="9" fontId="110" fillId="15" borderId="17" xfId="5" applyNumberFormat="1" applyFont="1" applyFill="1" applyBorder="1" applyAlignment="1" applyProtection="1">
      <alignment horizontal="center" vertical="center"/>
      <protection locked="0"/>
    </xf>
    <xf numFmtId="0" fontId="53" fillId="4" borderId="22" xfId="5" applyFont="1" applyFill="1" applyBorder="1" applyAlignment="1" applyProtection="1">
      <alignment horizontal="center" vertical="center" wrapText="1"/>
      <protection hidden="1"/>
    </xf>
    <xf numFmtId="9" fontId="110" fillId="15" borderId="23" xfId="5" applyNumberFormat="1" applyFont="1" applyFill="1" applyBorder="1" applyAlignment="1" applyProtection="1">
      <alignment horizontal="center" vertical="center"/>
      <protection locked="0"/>
    </xf>
    <xf numFmtId="0" fontId="53" fillId="13" borderId="0" xfId="5" applyFont="1" applyFill="1" applyAlignment="1" applyProtection="1">
      <alignment vertical="center" wrapText="1"/>
      <protection hidden="1"/>
    </xf>
    <xf numFmtId="0" fontId="94" fillId="0" borderId="0" xfId="0" applyFont="1" applyAlignment="1">
      <alignment vertical="center"/>
    </xf>
    <xf numFmtId="0" fontId="0" fillId="0" borderId="103" xfId="0" applyBorder="1" applyAlignment="1" applyProtection="1">
      <alignment vertical="center"/>
      <protection hidden="1"/>
    </xf>
    <xf numFmtId="0" fontId="0" fillId="0" borderId="26" xfId="0" applyBorder="1" applyAlignment="1" applyProtection="1">
      <alignment vertical="center"/>
      <protection hidden="1"/>
    </xf>
    <xf numFmtId="0" fontId="14" fillId="0" borderId="103" xfId="0" applyFont="1" applyBorder="1" applyAlignment="1" applyProtection="1">
      <alignment horizontal="justify" vertical="center"/>
      <protection hidden="1"/>
    </xf>
    <xf numFmtId="0" fontId="154" fillId="0" borderId="103" xfId="0" applyFont="1" applyBorder="1" applyAlignment="1" applyProtection="1">
      <alignment horizontal="left" vertical="center"/>
      <protection hidden="1"/>
    </xf>
    <xf numFmtId="0" fontId="14" fillId="0" borderId="0" xfId="0" applyFont="1" applyAlignment="1">
      <alignment horizontal="justify" vertical="center"/>
    </xf>
    <xf numFmtId="0" fontId="25" fillId="0" borderId="0" xfId="0" applyFont="1" applyAlignment="1">
      <alignment horizontal="justify" vertical="center"/>
    </xf>
    <xf numFmtId="0" fontId="22" fillId="0" borderId="0" xfId="0" applyFont="1" applyAlignment="1" applyProtection="1">
      <alignment vertical="center"/>
      <protection hidden="1"/>
    </xf>
    <xf numFmtId="0" fontId="14" fillId="0" borderId="0" xfId="0" applyFont="1" applyAlignment="1">
      <alignment horizontal="left" vertical="center"/>
    </xf>
    <xf numFmtId="0" fontId="14" fillId="0" borderId="0" xfId="0" applyFont="1" applyAlignment="1">
      <alignment horizontal="center" vertical="center"/>
    </xf>
    <xf numFmtId="0" fontId="25" fillId="0" borderId="0" xfId="0" applyFont="1" applyAlignment="1" applyProtection="1">
      <alignment horizontal="right" vertical="center"/>
      <protection locked="0"/>
    </xf>
    <xf numFmtId="0" fontId="25" fillId="0" borderId="0" xfId="0" applyFont="1" applyAlignment="1" applyProtection="1">
      <alignment horizontal="left" vertical="center"/>
      <protection hidden="1"/>
    </xf>
    <xf numFmtId="0" fontId="25" fillId="0" borderId="0" xfId="0" applyFont="1" applyAlignment="1" applyProtection="1">
      <alignment horizontal="left" vertical="center"/>
      <protection locked="0"/>
    </xf>
    <xf numFmtId="0" fontId="14" fillId="0" borderId="0" xfId="0" applyFont="1" applyAlignment="1" applyProtection="1">
      <alignment horizontal="center" vertical="center"/>
      <protection locked="0"/>
    </xf>
    <xf numFmtId="0" fontId="14" fillId="13" borderId="0" xfId="0" applyFont="1" applyFill="1" applyAlignment="1" applyProtection="1">
      <alignment vertical="center"/>
      <protection hidden="1"/>
    </xf>
    <xf numFmtId="0" fontId="25" fillId="13" borderId="0" xfId="0" applyFont="1" applyFill="1" applyAlignment="1" applyProtection="1">
      <alignment vertical="center"/>
      <protection hidden="1"/>
    </xf>
    <xf numFmtId="0" fontId="14" fillId="13" borderId="0" xfId="0" applyFont="1" applyFill="1" applyAlignment="1" applyProtection="1">
      <alignment horizontal="left" vertical="center"/>
      <protection locked="0"/>
    </xf>
    <xf numFmtId="0" fontId="35" fillId="13" borderId="0" xfId="0" applyFont="1" applyFill="1" applyAlignment="1" applyProtection="1">
      <alignment horizontal="left" vertical="center"/>
      <protection locked="0"/>
    </xf>
    <xf numFmtId="0" fontId="9" fillId="13" borderId="0" xfId="0" applyFont="1" applyFill="1" applyAlignment="1" applyProtection="1">
      <alignment vertical="center"/>
      <protection hidden="1"/>
    </xf>
    <xf numFmtId="0" fontId="14" fillId="0" borderId="0" xfId="0" applyFont="1" applyAlignment="1" applyProtection="1">
      <alignment horizontal="left" vertical="center"/>
      <protection locked="0"/>
    </xf>
    <xf numFmtId="0" fontId="159" fillId="0" borderId="0" xfId="0" applyFont="1" applyAlignment="1" applyProtection="1">
      <alignment horizontal="center" vertical="center"/>
      <protection hidden="1"/>
    </xf>
    <xf numFmtId="0" fontId="73" fillId="0" borderId="103" xfId="5" applyFont="1" applyBorder="1" applyAlignment="1">
      <alignment vertical="center" textRotation="255" wrapText="1"/>
    </xf>
    <xf numFmtId="43" fontId="14" fillId="0" borderId="0" xfId="18" applyFont="1" applyAlignment="1">
      <alignment vertical="center"/>
    </xf>
    <xf numFmtId="0" fontId="133" fillId="0" borderId="0" xfId="5" applyFont="1" applyAlignment="1">
      <alignment vertical="center" textRotation="255" wrapText="1"/>
    </xf>
    <xf numFmtId="0" fontId="117" fillId="0" borderId="0" xfId="5" applyFont="1" applyAlignment="1">
      <alignment horizontal="center" vertical="center" wrapText="1"/>
    </xf>
    <xf numFmtId="0" fontId="151" fillId="0" borderId="0" xfId="5" applyFont="1" applyAlignment="1">
      <alignment horizontal="justify" vertical="center" wrapText="1"/>
    </xf>
    <xf numFmtId="10" fontId="151" fillId="0" borderId="0" xfId="2" applyNumberFormat="1" applyFont="1" applyFill="1" applyBorder="1" applyAlignment="1">
      <alignment horizontal="center" vertical="center" wrapText="1"/>
    </xf>
    <xf numFmtId="0" fontId="151" fillId="0" borderId="0" xfId="5" applyFont="1" applyAlignment="1">
      <alignment horizontal="center" vertical="center" wrapText="1"/>
    </xf>
    <xf numFmtId="0" fontId="53" fillId="0" borderId="0" xfId="5" applyFont="1" applyAlignment="1">
      <alignment horizontal="justify" vertical="center" wrapText="1"/>
    </xf>
    <xf numFmtId="0" fontId="53" fillId="0" borderId="0" xfId="5" applyFont="1" applyAlignment="1">
      <alignment horizontal="center" vertical="center" wrapText="1"/>
    </xf>
    <xf numFmtId="0" fontId="20" fillId="0" borderId="0" xfId="0" applyFont="1" applyAlignment="1">
      <alignment horizontal="center" vertical="center" wrapText="1"/>
    </xf>
    <xf numFmtId="10" fontId="117" fillId="0" borderId="0" xfId="5" applyNumberFormat="1" applyFont="1" applyAlignment="1">
      <alignment horizontal="center" vertical="center"/>
    </xf>
    <xf numFmtId="0" fontId="133" fillId="0" borderId="100" xfId="5" applyFont="1" applyBorder="1" applyAlignment="1">
      <alignment vertical="center" textRotation="255" wrapText="1"/>
    </xf>
    <xf numFmtId="0" fontId="53" fillId="0" borderId="101" xfId="5" applyFont="1" applyBorder="1" applyAlignment="1">
      <alignment horizontal="justify" vertical="center" wrapText="1"/>
    </xf>
    <xf numFmtId="0" fontId="53" fillId="0" borderId="101" xfId="5" applyFont="1" applyBorder="1" applyAlignment="1">
      <alignment horizontal="center" vertical="center" wrapText="1"/>
    </xf>
    <xf numFmtId="0" fontId="20" fillId="0" borderId="101" xfId="0" applyFont="1" applyBorder="1" applyAlignment="1">
      <alignment horizontal="center" vertical="center" wrapText="1"/>
    </xf>
    <xf numFmtId="0" fontId="151" fillId="0" borderId="101" xfId="5" applyFont="1" applyBorder="1" applyAlignment="1">
      <alignment horizontal="justify" vertical="center" wrapText="1"/>
    </xf>
    <xf numFmtId="10" fontId="117" fillId="0" borderId="101" xfId="5" applyNumberFormat="1" applyFont="1" applyBorder="1" applyAlignment="1">
      <alignment horizontal="center" vertical="center"/>
    </xf>
    <xf numFmtId="0" fontId="14" fillId="0" borderId="101" xfId="0" applyFont="1" applyBorder="1" applyAlignment="1">
      <alignment vertical="center"/>
    </xf>
    <xf numFmtId="0" fontId="14" fillId="0" borderId="102" xfId="0" applyFont="1" applyBorder="1" applyAlignment="1">
      <alignment vertical="center"/>
    </xf>
    <xf numFmtId="0" fontId="25" fillId="0" borderId="103" xfId="0" applyFont="1" applyBorder="1" applyAlignment="1" applyProtection="1">
      <alignment horizontal="left" vertical="center"/>
      <protection hidden="1"/>
    </xf>
    <xf numFmtId="0" fontId="117" fillId="0" borderId="0" xfId="5" applyFont="1" applyAlignment="1">
      <alignment horizontal="justify" vertical="center" wrapText="1"/>
    </xf>
    <xf numFmtId="0" fontId="65" fillId="0" borderId="0" xfId="5" applyFont="1" applyAlignment="1">
      <alignment horizontal="center" vertical="center" textRotation="90" wrapText="1"/>
    </xf>
    <xf numFmtId="10" fontId="110" fillId="0" borderId="0" xfId="5" applyNumberFormat="1" applyFont="1" applyAlignment="1">
      <alignment horizontal="center" vertical="center"/>
    </xf>
    <xf numFmtId="0" fontId="14" fillId="0" borderId="26" xfId="0" applyFont="1" applyBorder="1" applyAlignment="1">
      <alignment vertical="center"/>
    </xf>
    <xf numFmtId="0" fontId="14" fillId="0" borderId="103" xfId="0" applyFont="1" applyBorder="1" applyAlignment="1">
      <alignment vertical="center"/>
    </xf>
    <xf numFmtId="0" fontId="51" fillId="64" borderId="132" xfId="0" applyFont="1" applyFill="1" applyBorder="1" applyAlignment="1">
      <alignment horizontal="center" vertical="center" wrapText="1"/>
    </xf>
    <xf numFmtId="0" fontId="51" fillId="64" borderId="7" xfId="0" applyFont="1" applyFill="1" applyBorder="1" applyAlignment="1">
      <alignment horizontal="center" vertical="center" wrapText="1"/>
    </xf>
    <xf numFmtId="0" fontId="51" fillId="64" borderId="8" xfId="0" applyFont="1" applyFill="1" applyBorder="1" applyAlignment="1">
      <alignment horizontal="center" vertical="center" wrapText="1"/>
    </xf>
    <xf numFmtId="0" fontId="51" fillId="64" borderId="102" xfId="0" applyFont="1" applyFill="1" applyBorder="1" applyAlignment="1">
      <alignment horizontal="center" vertical="center" wrapText="1"/>
    </xf>
    <xf numFmtId="164" fontId="25" fillId="20" borderId="40" xfId="14" applyFont="1" applyFill="1" applyBorder="1" applyAlignment="1" applyProtection="1">
      <alignment vertical="center"/>
      <protection hidden="1"/>
    </xf>
    <xf numFmtId="0" fontId="25" fillId="0" borderId="0" xfId="0" applyFont="1" applyAlignment="1">
      <alignment horizontal="left" vertical="center" wrapText="1"/>
    </xf>
    <xf numFmtId="0" fontId="25" fillId="0" borderId="0" xfId="0" applyFont="1" applyAlignment="1">
      <alignment horizontal="left" vertical="center"/>
    </xf>
    <xf numFmtId="0" fontId="25" fillId="0" borderId="0" xfId="0" applyFont="1" applyAlignment="1">
      <alignment horizontal="center" vertical="center" wrapText="1"/>
    </xf>
    <xf numFmtId="164" fontId="14" fillId="15" borderId="4" xfId="14" applyFont="1" applyFill="1" applyBorder="1" applyAlignment="1" applyProtection="1">
      <alignment vertical="center"/>
      <protection hidden="1"/>
    </xf>
    <xf numFmtId="182" fontId="14" fillId="16" borderId="4" xfId="2" applyNumberFormat="1" applyFont="1" applyFill="1" applyBorder="1" applyAlignment="1" applyProtection="1">
      <alignment horizontal="center" vertical="center"/>
      <protection hidden="1"/>
    </xf>
    <xf numFmtId="0" fontId="162" fillId="64" borderId="4" xfId="0" applyFont="1" applyFill="1" applyBorder="1" applyAlignment="1" applyProtection="1">
      <alignment horizontal="center" vertical="center" wrapText="1"/>
      <protection hidden="1"/>
    </xf>
    <xf numFmtId="0" fontId="25" fillId="0" borderId="0" xfId="0" applyFont="1" applyAlignment="1">
      <alignment vertical="center"/>
    </xf>
    <xf numFmtId="2" fontId="14" fillId="13" borderId="0" xfId="27" applyNumberFormat="1" applyFont="1" applyFill="1" applyBorder="1" applyAlignment="1" applyProtection="1">
      <alignment vertical="center"/>
      <protection hidden="1"/>
    </xf>
    <xf numFmtId="0" fontId="25" fillId="0" borderId="0" xfId="0" applyFont="1" applyAlignment="1" applyProtection="1">
      <alignment vertical="center"/>
      <protection hidden="1"/>
    </xf>
    <xf numFmtId="0" fontId="14" fillId="0" borderId="0" xfId="0" applyFont="1" applyAlignment="1" applyProtection="1">
      <alignment horizontal="right" vertical="center"/>
      <protection hidden="1"/>
    </xf>
    <xf numFmtId="0" fontId="14" fillId="13" borderId="0" xfId="0" applyFont="1" applyFill="1" applyAlignment="1" applyProtection="1">
      <alignment vertical="center" wrapText="1"/>
      <protection hidden="1"/>
    </xf>
    <xf numFmtId="0" fontId="25" fillId="0" borderId="0" xfId="0" applyFont="1"/>
    <xf numFmtId="0" fontId="58" fillId="27" borderId="89" xfId="0" applyFont="1" applyFill="1" applyBorder="1" applyAlignment="1">
      <alignment horizontal="center" wrapText="1"/>
    </xf>
    <xf numFmtId="0" fontId="58" fillId="27" borderId="42" xfId="0" applyFont="1" applyFill="1" applyBorder="1" applyAlignment="1">
      <alignment horizontal="center" wrapText="1"/>
    </xf>
    <xf numFmtId="0" fontId="25" fillId="30" borderId="4" xfId="0" applyFont="1" applyFill="1" applyBorder="1" applyAlignment="1">
      <alignment horizontal="center" vertical="center" wrapText="1"/>
    </xf>
    <xf numFmtId="0" fontId="14" fillId="64" borderId="0" xfId="0" applyFont="1" applyFill="1" applyAlignment="1">
      <alignment horizontal="center" vertical="center"/>
    </xf>
    <xf numFmtId="0" fontId="13" fillId="13" borderId="0" xfId="0" applyFont="1" applyFill="1" applyAlignment="1" applyProtection="1">
      <alignment vertical="top" wrapText="1"/>
      <protection hidden="1"/>
    </xf>
    <xf numFmtId="0" fontId="27" fillId="13" borderId="0" xfId="0" applyFont="1" applyFill="1" applyAlignment="1" applyProtection="1">
      <alignment vertical="top" wrapText="1"/>
      <protection hidden="1"/>
    </xf>
    <xf numFmtId="0" fontId="0" fillId="28" borderId="89" xfId="0" applyFill="1" applyBorder="1"/>
    <xf numFmtId="9" fontId="0" fillId="28" borderId="42" xfId="0" applyNumberFormat="1" applyFill="1" applyBorder="1" applyAlignment="1">
      <alignment horizontal="center"/>
    </xf>
    <xf numFmtId="9" fontId="14" fillId="0" borderId="0" xfId="0" applyNumberFormat="1" applyFont="1" applyAlignment="1">
      <alignment horizontal="center"/>
    </xf>
    <xf numFmtId="0" fontId="0" fillId="28" borderId="42" xfId="0" applyFill="1" applyBorder="1"/>
    <xf numFmtId="0" fontId="47" fillId="30" borderId="14" xfId="0" applyFont="1" applyFill="1" applyBorder="1" applyAlignment="1" applyProtection="1">
      <alignment vertical="center" wrapText="1"/>
      <protection locked="0" hidden="1"/>
    </xf>
    <xf numFmtId="0" fontId="35" fillId="0" borderId="4" xfId="0" applyFont="1" applyBorder="1" applyAlignment="1" applyProtection="1">
      <alignment horizontal="left" vertical="center" wrapText="1"/>
      <protection hidden="1"/>
    </xf>
    <xf numFmtId="0" fontId="47" fillId="30" borderId="14" xfId="0" applyFont="1" applyFill="1" applyBorder="1" applyAlignment="1">
      <alignment vertical="center" wrapText="1"/>
    </xf>
    <xf numFmtId="0" fontId="47" fillId="0" borderId="14" xfId="0" applyFont="1" applyBorder="1" applyAlignment="1">
      <alignment vertical="center" wrapText="1"/>
    </xf>
    <xf numFmtId="0" fontId="47" fillId="15" borderId="14" xfId="0" applyFont="1" applyFill="1" applyBorder="1" applyAlignment="1">
      <alignment vertical="center" wrapText="1"/>
    </xf>
    <xf numFmtId="9" fontId="0" fillId="0" borderId="0" xfId="2" applyFont="1" applyAlignment="1">
      <alignment horizontal="center" vertical="center"/>
    </xf>
    <xf numFmtId="0" fontId="59" fillId="0" borderId="0" xfId="0" applyFont="1"/>
    <xf numFmtId="0" fontId="14" fillId="15" borderId="0" xfId="0" applyFont="1" applyFill="1" applyAlignment="1">
      <alignment horizontal="center" vertical="center" wrapText="1"/>
    </xf>
    <xf numFmtId="0" fontId="30" fillId="0" borderId="4" xfId="0" applyFont="1" applyBorder="1" applyAlignment="1">
      <alignment horizontal="left" vertical="center" wrapText="1"/>
    </xf>
    <xf numFmtId="0" fontId="59" fillId="0" borderId="0" xfId="0" applyFont="1" applyAlignment="1">
      <alignment horizontal="left"/>
    </xf>
    <xf numFmtId="0" fontId="0" fillId="0" borderId="0" xfId="0" applyAlignment="1">
      <alignment horizontal="left"/>
    </xf>
    <xf numFmtId="0" fontId="14" fillId="0" borderId="0" xfId="0" applyFont="1" applyAlignment="1">
      <alignment horizontal="center"/>
    </xf>
    <xf numFmtId="0" fontId="0" fillId="0" borderId="42" xfId="0" applyBorder="1"/>
    <xf numFmtId="0" fontId="47" fillId="30" borderId="4" xfId="0" applyFont="1" applyFill="1" applyBorder="1" applyAlignment="1">
      <alignment vertical="center" wrapText="1"/>
    </xf>
    <xf numFmtId="9" fontId="0" fillId="0" borderId="42" xfId="0" applyNumberFormat="1" applyBorder="1" applyAlignment="1">
      <alignment horizontal="center"/>
    </xf>
    <xf numFmtId="0" fontId="59" fillId="5" borderId="0" xfId="0" applyFont="1" applyFill="1" applyAlignment="1">
      <alignment horizontal="left"/>
    </xf>
    <xf numFmtId="0" fontId="0" fillId="0" borderId="89" xfId="0" applyBorder="1"/>
    <xf numFmtId="0" fontId="47" fillId="30" borderId="0" xfId="0" applyFont="1" applyFill="1" applyAlignment="1">
      <alignment vertical="center" wrapText="1"/>
    </xf>
    <xf numFmtId="0" fontId="47" fillId="30" borderId="14" xfId="0" applyFont="1" applyFill="1" applyBorder="1" applyAlignment="1" applyProtection="1">
      <alignment vertical="center" wrapText="1"/>
      <protection locked="0"/>
    </xf>
    <xf numFmtId="0" fontId="0" fillId="5" borderId="0" xfId="0" applyFill="1"/>
    <xf numFmtId="0" fontId="0" fillId="5" borderId="0" xfId="0" applyFill="1" applyAlignment="1">
      <alignment horizontal="left"/>
    </xf>
    <xf numFmtId="0" fontId="47" fillId="0" borderId="14" xfId="0" applyFont="1" applyBorder="1" applyAlignment="1" applyProtection="1">
      <alignment vertical="center" wrapText="1"/>
      <protection locked="0"/>
    </xf>
    <xf numFmtId="0" fontId="47" fillId="0" borderId="0" xfId="0" applyFont="1" applyAlignment="1">
      <alignment wrapText="1"/>
    </xf>
    <xf numFmtId="0" fontId="47" fillId="0" borderId="0" xfId="0" applyFont="1"/>
    <xf numFmtId="0" fontId="47" fillId="0" borderId="0" xfId="0" applyFont="1" applyAlignment="1">
      <alignment horizontal="left" vertical="center"/>
    </xf>
    <xf numFmtId="0" fontId="59" fillId="0" borderId="4" xfId="0" applyFont="1" applyBorder="1" applyAlignment="1">
      <alignment vertical="center" wrapText="1"/>
    </xf>
    <xf numFmtId="175" fontId="0" fillId="0" borderId="9" xfId="26" applyNumberFormat="1" applyFont="1" applyBorder="1" applyAlignment="1" applyProtection="1">
      <alignment vertical="center" wrapText="1"/>
      <protection locked="0"/>
    </xf>
    <xf numFmtId="0" fontId="14" fillId="0" borderId="4" xfId="0" applyFont="1" applyBorder="1" applyAlignment="1">
      <alignment vertical="center" wrapText="1"/>
    </xf>
    <xf numFmtId="10" fontId="0" fillId="0" borderId="4" xfId="0" applyNumberFormat="1" applyBorder="1" applyAlignment="1">
      <alignment vertical="center" wrapText="1"/>
    </xf>
    <xf numFmtId="0" fontId="14" fillId="0" borderId="0" xfId="0" applyFont="1" applyAlignment="1">
      <alignment vertical="center" wrapText="1"/>
    </xf>
    <xf numFmtId="175" fontId="0" fillId="0" borderId="4" xfId="26" applyNumberFormat="1" applyFont="1" applyBorder="1" applyAlignment="1" applyProtection="1">
      <alignment vertical="center" wrapText="1"/>
      <protection locked="0"/>
    </xf>
    <xf numFmtId="175" fontId="0" fillId="0" borderId="0" xfId="26" applyNumberFormat="1" applyFont="1" applyBorder="1" applyAlignment="1" applyProtection="1">
      <alignment vertical="center" wrapText="1"/>
      <protection locked="0"/>
    </xf>
    <xf numFmtId="0" fontId="22" fillId="0" borderId="0" xfId="5" applyFont="1" applyAlignment="1" applyProtection="1">
      <alignment vertical="center"/>
      <protection locked="0"/>
    </xf>
    <xf numFmtId="0" fontId="25" fillId="0" borderId="0" xfId="0" applyFont="1" applyAlignment="1" applyProtection="1">
      <alignment horizontal="left" vertical="center" wrapText="1"/>
      <protection hidden="1"/>
    </xf>
    <xf numFmtId="0" fontId="14" fillId="0" borderId="13" xfId="0" applyFont="1" applyBorder="1"/>
    <xf numFmtId="0" fontId="66" fillId="0" borderId="13" xfId="0" applyFont="1" applyBorder="1"/>
    <xf numFmtId="9" fontId="66" fillId="0" borderId="0" xfId="2" applyFont="1"/>
    <xf numFmtId="0" fontId="110" fillId="14" borderId="4" xfId="34" applyFont="1" applyFill="1" applyBorder="1" applyAlignment="1" applyProtection="1">
      <alignment horizontal="center" vertical="center"/>
      <protection hidden="1"/>
    </xf>
    <xf numFmtId="10" fontId="110" fillId="14" borderId="22" xfId="34" applyNumberFormat="1" applyFont="1" applyFill="1" applyBorder="1" applyAlignment="1" applyProtection="1">
      <alignment horizontal="center" vertical="center"/>
      <protection hidden="1"/>
    </xf>
    <xf numFmtId="10" fontId="110" fillId="14" borderId="144" xfId="34" applyNumberFormat="1" applyFont="1" applyFill="1" applyBorder="1" applyAlignment="1" applyProtection="1">
      <alignment horizontal="center" vertical="center"/>
      <protection hidden="1"/>
    </xf>
    <xf numFmtId="10" fontId="66" fillId="0" borderId="0" xfId="2" applyNumberFormat="1" applyFont="1"/>
    <xf numFmtId="9" fontId="28" fillId="15" borderId="22" xfId="7" applyFont="1" applyFill="1" applyBorder="1" applyAlignment="1" applyProtection="1">
      <alignment horizontal="center" vertical="center" wrapText="1"/>
      <protection hidden="1"/>
    </xf>
    <xf numFmtId="10" fontId="164" fillId="0" borderId="0" xfId="2" applyNumberFormat="1" applyFont="1"/>
    <xf numFmtId="0" fontId="7" fillId="0" borderId="0" xfId="20" applyFill="1" applyBorder="1" applyAlignment="1">
      <alignment horizontal="center" vertical="center"/>
    </xf>
    <xf numFmtId="9" fontId="66" fillId="0" borderId="0" xfId="2" applyFont="1" applyFill="1"/>
    <xf numFmtId="0" fontId="57" fillId="0" borderId="0" xfId="35" applyFont="1" applyFill="1" applyBorder="1" applyAlignment="1">
      <alignment horizontal="center" vertical="center"/>
    </xf>
    <xf numFmtId="170" fontId="28" fillId="10" borderId="144" xfId="24" applyNumberFormat="1" applyFont="1" applyFill="1" applyBorder="1" applyAlignment="1" applyProtection="1">
      <alignment horizontal="center" vertical="center"/>
      <protection hidden="1"/>
    </xf>
    <xf numFmtId="0" fontId="110" fillId="0" borderId="103" xfId="5" applyFont="1" applyBorder="1" applyAlignment="1" applyProtection="1">
      <alignment horizontal="center" vertical="center" wrapText="1"/>
      <protection hidden="1"/>
    </xf>
    <xf numFmtId="0" fontId="110" fillId="0" borderId="0" xfId="5" applyFont="1" applyAlignment="1" applyProtection="1">
      <alignment horizontal="center" vertical="center" wrapText="1"/>
      <protection hidden="1"/>
    </xf>
    <xf numFmtId="9" fontId="110" fillId="0" borderId="46" xfId="5" applyNumberFormat="1" applyFont="1" applyBorder="1" applyAlignment="1" applyProtection="1">
      <alignment horizontal="center" vertical="center" wrapText="1"/>
      <protection hidden="1"/>
    </xf>
    <xf numFmtId="0" fontId="134" fillId="0" borderId="0" xfId="5" applyFont="1" applyAlignment="1" applyProtection="1">
      <alignment horizontal="center" vertical="center" wrapText="1"/>
      <protection hidden="1"/>
    </xf>
    <xf numFmtId="167" fontId="43" fillId="0" borderId="0" xfId="24" applyNumberFormat="1" applyFont="1" applyFill="1" applyBorder="1" applyAlignment="1" applyProtection="1">
      <alignment horizontal="center" vertical="center"/>
      <protection hidden="1"/>
    </xf>
    <xf numFmtId="170" fontId="27" fillId="0" borderId="0" xfId="7" applyNumberFormat="1" applyFont="1" applyFill="1" applyBorder="1" applyAlignment="1" applyProtection="1">
      <alignment horizontal="center" vertical="center"/>
      <protection hidden="1"/>
    </xf>
    <xf numFmtId="170" fontId="115" fillId="0" borderId="0" xfId="5" applyNumberFormat="1" applyFont="1" applyAlignment="1" applyProtection="1">
      <alignment horizontal="center" vertical="center"/>
      <protection hidden="1"/>
    </xf>
    <xf numFmtId="0" fontId="51" fillId="0" borderId="0" xfId="5" applyFont="1" applyAlignment="1" applyProtection="1">
      <alignment horizontal="center" vertical="center"/>
      <protection hidden="1"/>
    </xf>
    <xf numFmtId="170" fontId="28" fillId="10" borderId="23" xfId="24" applyNumberFormat="1" applyFont="1" applyFill="1" applyBorder="1" applyAlignment="1" applyProtection="1">
      <alignment horizontal="center" vertical="center" wrapText="1"/>
      <protection hidden="1"/>
    </xf>
    <xf numFmtId="0" fontId="110" fillId="59" borderId="103" xfId="5" applyFont="1" applyFill="1" applyBorder="1" applyAlignment="1" applyProtection="1">
      <alignment horizontal="center" vertical="center" wrapText="1"/>
      <protection hidden="1"/>
    </xf>
    <xf numFmtId="170" fontId="28" fillId="5" borderId="12" xfId="7" applyNumberFormat="1" applyFont="1" applyFill="1" applyBorder="1" applyAlignment="1" applyProtection="1">
      <alignment horizontal="center" vertical="center"/>
      <protection locked="0"/>
    </xf>
    <xf numFmtId="170" fontId="28" fillId="10" borderId="23" xfId="24" applyNumberFormat="1" applyFont="1" applyFill="1" applyBorder="1" applyAlignment="1" applyProtection="1">
      <alignment horizontal="center" vertical="center"/>
      <protection hidden="1"/>
    </xf>
    <xf numFmtId="0" fontId="14" fillId="0" borderId="0" xfId="5" applyFont="1" applyAlignment="1" applyProtection="1">
      <alignment horizontal="center" vertical="center"/>
      <protection hidden="1"/>
    </xf>
    <xf numFmtId="0" fontId="165" fillId="0" borderId="0" xfId="5" applyFont="1" applyProtection="1">
      <protection locked="0"/>
    </xf>
    <xf numFmtId="0" fontId="166" fillId="0" borderId="0" xfId="5" applyFont="1" applyAlignment="1">
      <alignment horizontal="left" vertical="center" wrapText="1"/>
    </xf>
    <xf numFmtId="0" fontId="20" fillId="0" borderId="0" xfId="5" applyFont="1" applyProtection="1">
      <protection locked="0"/>
    </xf>
    <xf numFmtId="0" fontId="20" fillId="0" borderId="0" xfId="5" applyFont="1" applyAlignment="1" applyProtection="1">
      <alignment horizontal="center"/>
      <protection locked="0"/>
    </xf>
    <xf numFmtId="10" fontId="20" fillId="0" borderId="0" xfId="5" applyNumberFormat="1" applyFont="1" applyProtection="1">
      <protection locked="0"/>
    </xf>
    <xf numFmtId="9" fontId="20" fillId="0" borderId="0" xfId="5" applyNumberFormat="1" applyFont="1" applyProtection="1">
      <protection locked="0"/>
    </xf>
    <xf numFmtId="0" fontId="20" fillId="0" borderId="0" xfId="5" applyFont="1" applyAlignment="1" applyProtection="1">
      <alignment vertical="center"/>
      <protection locked="0"/>
    </xf>
    <xf numFmtId="0" fontId="19" fillId="0" borderId="0" xfId="5" applyFont="1" applyAlignment="1" applyProtection="1">
      <alignment horizontal="center"/>
      <protection locked="0"/>
    </xf>
    <xf numFmtId="10" fontId="165" fillId="0" borderId="0" xfId="5" applyNumberFormat="1" applyFont="1" applyProtection="1">
      <protection locked="0"/>
    </xf>
    <xf numFmtId="9" fontId="165" fillId="0" borderId="0" xfId="5" applyNumberFormat="1" applyFont="1" applyProtection="1">
      <protection locked="0"/>
    </xf>
    <xf numFmtId="0" fontId="47" fillId="0" borderId="0" xfId="5" applyFont="1" applyProtection="1">
      <protection locked="0"/>
    </xf>
    <xf numFmtId="0" fontId="167" fillId="18" borderId="148" xfId="0" applyFont="1" applyFill="1" applyBorder="1" applyAlignment="1">
      <alignment horizontal="left" vertical="center"/>
    </xf>
    <xf numFmtId="0" fontId="167" fillId="0" borderId="149" xfId="0" applyFont="1" applyBorder="1" applyAlignment="1">
      <alignment horizontal="left" vertical="center"/>
    </xf>
    <xf numFmtId="0" fontId="167" fillId="18" borderId="149" xfId="0" applyFont="1" applyFill="1" applyBorder="1" applyAlignment="1">
      <alignment horizontal="left" vertical="center"/>
    </xf>
    <xf numFmtId="0" fontId="19" fillId="0" borderId="0" xfId="0" applyFont="1" applyAlignment="1" applyProtection="1">
      <alignment horizontal="left" vertical="center"/>
      <protection hidden="1"/>
    </xf>
    <xf numFmtId="0" fontId="8" fillId="0" borderId="0" xfId="9"/>
    <xf numFmtId="0" fontId="65" fillId="0" borderId="33" xfId="5" applyFont="1" applyBorder="1" applyAlignment="1">
      <alignment vertical="center" wrapText="1"/>
    </xf>
    <xf numFmtId="0" fontId="28" fillId="36" borderId="4" xfId="5" applyFont="1" applyFill="1" applyBorder="1" applyAlignment="1">
      <alignment horizontal="center" vertical="center" wrapText="1"/>
    </xf>
    <xf numFmtId="0" fontId="117" fillId="53" borderId="4" xfId="5" applyFont="1" applyFill="1" applyBorder="1" applyAlignment="1">
      <alignment horizontal="center" vertical="center" wrapText="1"/>
    </xf>
    <xf numFmtId="9" fontId="117" fillId="68" borderId="4" xfId="7" applyFont="1" applyFill="1" applyBorder="1" applyAlignment="1" applyProtection="1">
      <alignment horizontal="center" vertical="center"/>
    </xf>
    <xf numFmtId="170" fontId="110" fillId="34" borderId="4" xfId="7" applyNumberFormat="1" applyFont="1" applyFill="1" applyBorder="1" applyAlignment="1" applyProtection="1">
      <alignment horizontal="center" vertical="center"/>
    </xf>
    <xf numFmtId="0" fontId="28" fillId="55" borderId="62" xfId="9" applyFont="1" applyFill="1" applyBorder="1" applyAlignment="1" applyProtection="1">
      <alignment horizontal="center" vertical="center" wrapText="1"/>
      <protection hidden="1"/>
    </xf>
    <xf numFmtId="0" fontId="28" fillId="55" borderId="4" xfId="9" applyFont="1" applyFill="1" applyBorder="1" applyAlignment="1" applyProtection="1">
      <alignment horizontal="center" vertical="center" wrapText="1"/>
      <protection hidden="1"/>
    </xf>
    <xf numFmtId="0" fontId="27" fillId="0" borderId="4" xfId="5" applyFont="1" applyBorder="1" applyAlignment="1">
      <alignment horizontal="center" vertical="center" wrapText="1"/>
    </xf>
    <xf numFmtId="1" fontId="29" fillId="16" borderId="62" xfId="6" applyNumberFormat="1" applyFont="1" applyFill="1" applyBorder="1" applyAlignment="1">
      <alignment horizontal="center" vertical="center"/>
    </xf>
    <xf numFmtId="170" fontId="11" fillId="5" borderId="4" xfId="2" applyNumberFormat="1" applyFont="1" applyFill="1" applyBorder="1" applyAlignment="1" applyProtection="1">
      <alignment horizontal="center" vertical="center"/>
      <protection locked="0"/>
    </xf>
    <xf numFmtId="170" fontId="11" fillId="68" borderId="4" xfId="7" applyNumberFormat="1" applyFont="1" applyFill="1" applyBorder="1" applyAlignment="1">
      <alignment horizontal="center" vertical="center"/>
    </xf>
    <xf numFmtId="1" fontId="29" fillId="44" borderId="62" xfId="6" applyNumberFormat="1" applyFont="1" applyFill="1" applyBorder="1" applyAlignment="1">
      <alignment horizontal="center" vertical="center"/>
    </xf>
    <xf numFmtId="0" fontId="110" fillId="69" borderId="4" xfId="9" applyFont="1" applyFill="1" applyBorder="1" applyAlignment="1">
      <alignment horizontal="center" vertical="center"/>
    </xf>
    <xf numFmtId="9" fontId="110" fillId="69" borderId="4" xfId="7" applyFont="1" applyFill="1" applyBorder="1" applyAlignment="1" applyProtection="1">
      <alignment horizontal="center" vertical="center"/>
    </xf>
    <xf numFmtId="170" fontId="110" fillId="69" borderId="4" xfId="9" applyNumberFormat="1" applyFont="1" applyFill="1" applyBorder="1" applyAlignment="1">
      <alignment horizontal="center" vertical="center"/>
    </xf>
    <xf numFmtId="0" fontId="28" fillId="62" borderId="74" xfId="5" applyFont="1" applyFill="1" applyBorder="1" applyAlignment="1">
      <alignment horizontal="center" vertical="center" wrapText="1"/>
    </xf>
    <xf numFmtId="0" fontId="110" fillId="62" borderId="14" xfId="5" applyFont="1" applyFill="1" applyBorder="1" applyAlignment="1">
      <alignment horizontal="center"/>
    </xf>
    <xf numFmtId="0" fontId="110" fillId="62" borderId="0" xfId="5" applyFont="1" applyFill="1" applyAlignment="1">
      <alignment horizontal="center"/>
    </xf>
    <xf numFmtId="170" fontId="110" fillId="0" borderId="0" xfId="7" applyNumberFormat="1" applyFont="1" applyFill="1" applyBorder="1" applyAlignment="1" applyProtection="1">
      <alignment horizontal="center" vertical="center"/>
    </xf>
    <xf numFmtId="0" fontId="28" fillId="62" borderId="62" xfId="5" applyFont="1" applyFill="1" applyBorder="1" applyAlignment="1">
      <alignment horizontal="center" vertical="center" wrapText="1"/>
    </xf>
    <xf numFmtId="0" fontId="110" fillId="62" borderId="4" xfId="5" applyFont="1" applyFill="1" applyBorder="1" applyAlignment="1">
      <alignment horizontal="center"/>
    </xf>
    <xf numFmtId="0" fontId="110" fillId="0" borderId="0" xfId="5" applyFont="1" applyAlignment="1">
      <alignment horizontal="center"/>
    </xf>
    <xf numFmtId="0" fontId="117" fillId="0" borderId="0" xfId="9" applyFont="1"/>
    <xf numFmtId="0" fontId="28" fillId="30" borderId="65" xfId="5" applyFont="1" applyFill="1" applyBorder="1" applyAlignment="1">
      <alignment horizontal="center" vertical="center" wrapText="1"/>
    </xf>
    <xf numFmtId="43" fontId="110" fillId="30" borderId="69" xfId="18" applyFont="1" applyFill="1" applyBorder="1" applyAlignment="1">
      <alignment horizontal="center"/>
    </xf>
    <xf numFmtId="43" fontId="110" fillId="30" borderId="0" xfId="18" applyFont="1" applyFill="1" applyBorder="1" applyAlignment="1">
      <alignment horizontal="center"/>
    </xf>
    <xf numFmtId="0" fontId="149" fillId="0" borderId="0" xfId="5" applyFont="1" applyAlignment="1">
      <alignment horizontal="center"/>
    </xf>
    <xf numFmtId="0" fontId="53" fillId="53" borderId="0" xfId="5" applyFont="1" applyFill="1" applyProtection="1">
      <protection locked="0"/>
    </xf>
    <xf numFmtId="0" fontId="35" fillId="13" borderId="143" xfId="33" applyFont="1" applyFill="1" applyBorder="1" applyAlignment="1">
      <alignment horizontal="center" vertical="center" wrapText="1"/>
    </xf>
    <xf numFmtId="0" fontId="35" fillId="13" borderId="24" xfId="33" applyFont="1" applyFill="1" applyBorder="1" applyAlignment="1">
      <alignment horizontal="center" vertical="center" wrapText="1"/>
    </xf>
    <xf numFmtId="0" fontId="10" fillId="36" borderId="100" xfId="5" applyFont="1" applyFill="1" applyBorder="1" applyAlignment="1">
      <alignment horizontal="center" vertical="center" wrapText="1"/>
    </xf>
    <xf numFmtId="0" fontId="10" fillId="36" borderId="4" xfId="5" applyFont="1" applyFill="1" applyBorder="1" applyAlignment="1">
      <alignment horizontal="center" vertical="center" wrapText="1"/>
    </xf>
    <xf numFmtId="9" fontId="133" fillId="51" borderId="4" xfId="7" applyFont="1" applyFill="1" applyBorder="1" applyAlignment="1" applyProtection="1">
      <alignment horizontal="center" vertical="center"/>
    </xf>
    <xf numFmtId="0" fontId="5" fillId="20" borderId="4" xfId="5" applyFont="1" applyFill="1" applyBorder="1" applyAlignment="1" applyProtection="1">
      <alignment horizontal="center" vertical="center"/>
      <protection locked="0"/>
    </xf>
    <xf numFmtId="0" fontId="21" fillId="0" borderId="0" xfId="0" applyFont="1" applyAlignment="1" applyProtection="1">
      <alignment horizontal="center" vertical="center"/>
      <protection hidden="1"/>
    </xf>
    <xf numFmtId="0" fontId="14" fillId="0" borderId="0" xfId="0" applyFont="1" applyAlignment="1" applyProtection="1">
      <alignment horizontal="right" vertical="center"/>
      <protection locked="0"/>
    </xf>
    <xf numFmtId="0" fontId="51" fillId="64" borderId="102" xfId="0" applyFont="1" applyFill="1" applyBorder="1" applyAlignment="1" applyProtection="1">
      <alignment vertical="center"/>
      <protection hidden="1"/>
    </xf>
    <xf numFmtId="0" fontId="14" fillId="0" borderId="3" xfId="0" applyFont="1" applyBorder="1" applyAlignment="1" applyProtection="1">
      <alignment horizontal="center" vertical="center"/>
      <protection hidden="1"/>
    </xf>
    <xf numFmtId="0" fontId="51" fillId="64" borderId="22" xfId="0" applyFont="1" applyFill="1" applyBorder="1" applyAlignment="1" applyProtection="1">
      <alignment horizontal="center" vertical="center" wrapText="1"/>
      <protection hidden="1"/>
    </xf>
    <xf numFmtId="0" fontId="35" fillId="0" borderId="16" xfId="0" applyFont="1" applyBorder="1" applyAlignment="1">
      <alignment horizontal="left" vertical="center"/>
    </xf>
    <xf numFmtId="0" fontId="35" fillId="0" borderId="4" xfId="0" applyFont="1" applyBorder="1" applyAlignment="1" applyProtection="1">
      <alignment vertical="center"/>
      <protection hidden="1"/>
    </xf>
    <xf numFmtId="10" fontId="25" fillId="0" borderId="4" xfId="2" applyNumberFormat="1" applyFont="1" applyBorder="1" applyAlignment="1" applyProtection="1">
      <alignment vertical="center"/>
      <protection hidden="1"/>
    </xf>
    <xf numFmtId="43" fontId="25" fillId="13" borderId="4" xfId="0" applyNumberFormat="1" applyFont="1" applyFill="1" applyBorder="1" applyAlignment="1" applyProtection="1">
      <alignment vertical="center"/>
      <protection hidden="1"/>
    </xf>
    <xf numFmtId="0" fontId="25" fillId="0" borderId="4" xfId="0" applyFont="1" applyBorder="1" applyAlignment="1" applyProtection="1">
      <alignment horizontal="center" vertical="center"/>
      <protection hidden="1"/>
    </xf>
    <xf numFmtId="0" fontId="47" fillId="0" borderId="16" xfId="0" applyFont="1" applyBorder="1" applyAlignment="1">
      <alignment horizontal="left" vertical="center"/>
    </xf>
    <xf numFmtId="10" fontId="14" fillId="0" borderId="4" xfId="2" applyNumberFormat="1" applyFont="1" applyBorder="1" applyAlignment="1" applyProtection="1">
      <alignment vertical="center"/>
      <protection hidden="1"/>
    </xf>
    <xf numFmtId="43" fontId="14" fillId="13" borderId="4" xfId="0" applyNumberFormat="1" applyFont="1" applyFill="1" applyBorder="1" applyAlignment="1" applyProtection="1">
      <alignment vertical="center"/>
      <protection hidden="1"/>
    </xf>
    <xf numFmtId="0" fontId="14" fillId="0" borderId="25" xfId="0" applyFont="1" applyBorder="1" applyAlignment="1">
      <alignment vertical="center"/>
    </xf>
    <xf numFmtId="0" fontId="14" fillId="0" borderId="22" xfId="0" applyFont="1" applyBorder="1" applyAlignment="1">
      <alignment vertical="center" wrapText="1"/>
    </xf>
    <xf numFmtId="43" fontId="14" fillId="0" borderId="22" xfId="18" applyFont="1" applyBorder="1" applyAlignment="1" applyProtection="1">
      <alignment vertical="center"/>
      <protection hidden="1"/>
    </xf>
    <xf numFmtId="10" fontId="14" fillId="0" borderId="22" xfId="2" applyNumberFormat="1" applyFont="1" applyBorder="1" applyAlignment="1" applyProtection="1">
      <alignment vertical="center"/>
      <protection hidden="1"/>
    </xf>
    <xf numFmtId="43" fontId="14" fillId="13" borderId="22" xfId="0" applyNumberFormat="1" applyFont="1" applyFill="1" applyBorder="1" applyAlignment="1" applyProtection="1">
      <alignment vertical="center"/>
      <protection hidden="1"/>
    </xf>
    <xf numFmtId="0" fontId="14" fillId="0" borderId="22" xfId="0" applyFont="1" applyBorder="1" applyAlignment="1" applyProtection="1">
      <alignment horizontal="left" vertical="center" wrapText="1"/>
      <protection hidden="1"/>
    </xf>
    <xf numFmtId="10" fontId="25" fillId="0" borderId="11" xfId="2" applyNumberFormat="1" applyFont="1" applyBorder="1" applyAlignment="1" applyProtection="1">
      <alignment vertical="center"/>
      <protection hidden="1"/>
    </xf>
    <xf numFmtId="43" fontId="25" fillId="13" borderId="11" xfId="0" applyNumberFormat="1" applyFont="1" applyFill="1" applyBorder="1" applyAlignment="1" applyProtection="1">
      <alignment vertical="center"/>
      <protection hidden="1"/>
    </xf>
    <xf numFmtId="0" fontId="33" fillId="0" borderId="4" xfId="0" applyFont="1" applyBorder="1" applyAlignment="1">
      <alignment horizontal="left" vertical="center" wrapText="1"/>
    </xf>
    <xf numFmtId="0" fontId="47" fillId="0" borderId="4" xfId="0" applyFont="1" applyBorder="1" applyAlignment="1">
      <alignment horizontal="left" vertical="center"/>
    </xf>
    <xf numFmtId="0" fontId="30" fillId="0" borderId="4" xfId="0" applyFont="1" applyBorder="1" applyAlignment="1">
      <alignment vertical="center" wrapText="1"/>
    </xf>
    <xf numFmtId="0" fontId="47" fillId="0" borderId="0" xfId="0" applyFont="1" applyAlignment="1" applyProtection="1">
      <alignment horizontal="left" vertical="center" wrapText="1"/>
      <protection hidden="1"/>
    </xf>
    <xf numFmtId="49" fontId="25" fillId="13" borderId="0" xfId="0" applyNumberFormat="1" applyFont="1" applyFill="1" applyAlignment="1" applyProtection="1">
      <alignment horizontal="left" vertical="center" wrapText="1"/>
      <protection hidden="1"/>
    </xf>
    <xf numFmtId="0" fontId="35" fillId="0" borderId="0" xfId="0" applyFont="1" applyAlignment="1" applyProtection="1">
      <alignment horizontal="left" vertical="center" wrapText="1"/>
      <protection hidden="1"/>
    </xf>
    <xf numFmtId="0" fontId="37" fillId="71" borderId="4" xfId="0" applyFont="1" applyFill="1" applyBorder="1" applyAlignment="1">
      <alignment horizontal="center" vertical="center" wrapText="1"/>
    </xf>
    <xf numFmtId="0" fontId="169" fillId="71" borderId="4" xfId="0" applyFont="1" applyFill="1" applyBorder="1" applyAlignment="1">
      <alignment horizontal="center" vertical="center" wrapText="1"/>
    </xf>
    <xf numFmtId="0" fontId="37" fillId="71" borderId="9" xfId="0" applyFont="1" applyFill="1" applyBorder="1" applyAlignment="1">
      <alignment horizontal="center" vertical="center" wrapText="1"/>
    </xf>
    <xf numFmtId="0" fontId="14" fillId="0" borderId="4" xfId="5" applyFont="1" applyBorder="1" applyAlignment="1" applyProtection="1">
      <alignment horizontal="center" vertical="center"/>
      <protection hidden="1"/>
    </xf>
    <xf numFmtId="0" fontId="7" fillId="2" borderId="4" xfId="20" applyBorder="1" applyAlignment="1">
      <alignment horizontal="center" vertical="center"/>
    </xf>
    <xf numFmtId="0" fontId="168" fillId="66" borderId="4" xfId="36" applyBorder="1" applyAlignment="1">
      <alignment horizontal="center" vertical="center"/>
    </xf>
    <xf numFmtId="0" fontId="14" fillId="0" borderId="4" xfId="5" applyFont="1" applyBorder="1" applyProtection="1">
      <protection hidden="1"/>
    </xf>
    <xf numFmtId="0" fontId="57" fillId="3" borderId="4" xfId="35" applyFont="1" applyBorder="1" applyAlignment="1">
      <alignment horizontal="center" vertical="center"/>
    </xf>
    <xf numFmtId="0" fontId="57" fillId="20" borderId="4" xfId="35" applyFont="1" applyFill="1" applyBorder="1" applyAlignment="1">
      <alignment horizontal="center" vertical="center"/>
    </xf>
    <xf numFmtId="0" fontId="168" fillId="66" borderId="4" xfId="36" applyBorder="1" applyAlignment="1">
      <alignment horizontal="center" vertical="center" wrapText="1"/>
    </xf>
    <xf numFmtId="0" fontId="170" fillId="66" borderId="4" xfId="36" applyFont="1" applyBorder="1" applyAlignment="1">
      <alignment horizontal="center" vertical="center"/>
    </xf>
    <xf numFmtId="0" fontId="14" fillId="0" borderId="13" xfId="0" applyFont="1" applyBorder="1" applyAlignment="1" applyProtection="1">
      <alignment horizontal="left" vertical="center"/>
      <protection locked="0"/>
    </xf>
    <xf numFmtId="0" fontId="14" fillId="0" borderId="33" xfId="0" applyFont="1" applyBorder="1" applyAlignment="1" applyProtection="1">
      <alignment horizontal="left" vertical="center"/>
      <protection locked="0"/>
    </xf>
    <xf numFmtId="0" fontId="25" fillId="5" borderId="49" xfId="5" applyFont="1" applyFill="1" applyBorder="1" applyAlignment="1" applyProtection="1">
      <alignment horizontal="center" vertical="center" wrapText="1"/>
      <protection hidden="1"/>
    </xf>
    <xf numFmtId="0" fontId="165" fillId="0" borderId="0" xfId="5" applyFont="1" applyAlignment="1" applyProtection="1">
      <alignment horizontal="center" vertical="center"/>
      <protection locked="0"/>
    </xf>
    <xf numFmtId="0" fontId="171" fillId="2" borderId="4" xfId="20" applyFont="1" applyBorder="1" applyAlignment="1">
      <alignment horizontal="center" vertical="center"/>
    </xf>
    <xf numFmtId="0" fontId="172" fillId="3" borderId="4" xfId="35" applyFont="1" applyBorder="1" applyAlignment="1">
      <alignment horizontal="center" vertical="center"/>
    </xf>
    <xf numFmtId="0" fontId="66" fillId="20" borderId="0" xfId="0" applyFont="1" applyFill="1" applyProtection="1">
      <protection hidden="1"/>
    </xf>
    <xf numFmtId="10" fontId="110" fillId="15" borderId="143" xfId="7" applyNumberFormat="1" applyFont="1" applyFill="1" applyBorder="1" applyAlignment="1" applyProtection="1">
      <alignment horizontal="center" vertical="center"/>
      <protection hidden="1"/>
    </xf>
    <xf numFmtId="10" fontId="110" fillId="15" borderId="47" xfId="7" applyNumberFormat="1" applyFont="1" applyFill="1" applyBorder="1" applyAlignment="1" applyProtection="1">
      <alignment horizontal="center" vertical="center"/>
      <protection hidden="1"/>
    </xf>
    <xf numFmtId="10" fontId="117" fillId="36" borderId="130" xfId="7" applyNumberFormat="1" applyFont="1" applyFill="1" applyBorder="1" applyAlignment="1" applyProtection="1">
      <alignment horizontal="center"/>
      <protection hidden="1"/>
    </xf>
    <xf numFmtId="10" fontId="28" fillId="61" borderId="11" xfId="2" applyNumberFormat="1" applyFont="1" applyFill="1" applyBorder="1" applyAlignment="1" applyProtection="1">
      <alignment horizontal="center" vertical="center"/>
      <protection hidden="1"/>
    </xf>
    <xf numFmtId="10" fontId="28" fillId="61" borderId="12" xfId="2" applyNumberFormat="1" applyFont="1" applyFill="1" applyBorder="1" applyAlignment="1" applyProtection="1">
      <alignment horizontal="center" vertical="center"/>
      <protection hidden="1"/>
    </xf>
    <xf numFmtId="9" fontId="25" fillId="0" borderId="139" xfId="2" applyFont="1" applyFill="1" applyBorder="1" applyAlignment="1" applyProtection="1">
      <alignment horizontal="center" vertical="center"/>
      <protection hidden="1"/>
    </xf>
    <xf numFmtId="9" fontId="151" fillId="0" borderId="101" xfId="2" applyFont="1" applyBorder="1" applyAlignment="1">
      <alignment horizontal="center" vertical="center" wrapText="1"/>
    </xf>
    <xf numFmtId="182" fontId="14" fillId="25" borderId="4" xfId="2" applyNumberFormat="1" applyFont="1" applyFill="1" applyBorder="1" applyAlignment="1" applyProtection="1">
      <alignment horizontal="center" vertical="center"/>
      <protection hidden="1"/>
    </xf>
    <xf numFmtId="183" fontId="14" fillId="25" borderId="4" xfId="19" applyNumberFormat="1" applyFont="1" applyFill="1" applyBorder="1" applyAlignment="1" applyProtection="1">
      <alignment horizontal="center" vertical="center"/>
      <protection hidden="1"/>
    </xf>
    <xf numFmtId="9" fontId="14" fillId="25" borderId="4" xfId="2" applyFont="1" applyFill="1" applyBorder="1" applyAlignment="1" applyProtection="1">
      <alignment horizontal="center" vertical="center"/>
      <protection hidden="1"/>
    </xf>
    <xf numFmtId="9" fontId="14" fillId="16" borderId="4" xfId="2" applyFont="1" applyFill="1" applyBorder="1" applyAlignment="1" applyProtection="1">
      <alignment horizontal="center" vertical="center"/>
      <protection hidden="1"/>
    </xf>
    <xf numFmtId="9" fontId="14" fillId="15" borderId="4" xfId="2" applyFont="1" applyFill="1" applyBorder="1" applyAlignment="1" applyProtection="1">
      <alignment horizontal="center" vertical="center"/>
      <protection hidden="1"/>
    </xf>
    <xf numFmtId="10" fontId="10" fillId="13" borderId="4" xfId="2" applyNumberFormat="1" applyFont="1" applyFill="1" applyBorder="1" applyAlignment="1" applyProtection="1">
      <alignment horizontal="center" vertical="center" wrapText="1"/>
      <protection hidden="1"/>
    </xf>
    <xf numFmtId="0" fontId="33" fillId="0" borderId="4" xfId="0" applyFont="1" applyBorder="1" applyAlignment="1">
      <alignment horizontal="left" vertical="center"/>
    </xf>
    <xf numFmtId="0" fontId="30" fillId="0" borderId="4" xfId="0" applyFont="1" applyBorder="1" applyAlignment="1">
      <alignment horizontal="left" vertical="center"/>
    </xf>
    <xf numFmtId="0" fontId="35" fillId="0" borderId="4" xfId="0" applyFont="1" applyBorder="1" applyAlignment="1">
      <alignment horizontal="left" vertical="center"/>
    </xf>
    <xf numFmtId="0" fontId="33" fillId="0" borderId="4" xfId="0" applyFont="1" applyBorder="1" applyAlignment="1">
      <alignment vertical="center" wrapText="1"/>
    </xf>
    <xf numFmtId="43" fontId="25" fillId="0" borderId="4" xfId="0" applyNumberFormat="1" applyFont="1" applyBorder="1" applyAlignment="1" applyProtection="1">
      <alignment vertical="center"/>
      <protection hidden="1"/>
    </xf>
    <xf numFmtId="43" fontId="14" fillId="0" borderId="4" xfId="0" applyNumberFormat="1" applyFont="1" applyBorder="1" applyAlignment="1" applyProtection="1">
      <alignment vertical="center"/>
      <protection hidden="1"/>
    </xf>
    <xf numFmtId="0" fontId="175" fillId="0" borderId="0" xfId="0" applyFont="1" applyAlignment="1" applyProtection="1">
      <alignment vertical="center"/>
      <protection hidden="1"/>
    </xf>
    <xf numFmtId="0" fontId="176" fillId="13" borderId="0" xfId="0" applyFont="1" applyFill="1" applyAlignment="1" applyProtection="1">
      <alignment vertical="center"/>
      <protection hidden="1"/>
    </xf>
    <xf numFmtId="179" fontId="175" fillId="0" borderId="45" xfId="0" applyNumberFormat="1" applyFont="1" applyBorder="1" applyProtection="1">
      <protection locked="0"/>
    </xf>
    <xf numFmtId="179" fontId="175" fillId="0" borderId="0" xfId="0" applyNumberFormat="1" applyFont="1" applyProtection="1">
      <protection locked="0"/>
    </xf>
    <xf numFmtId="0" fontId="175" fillId="0" borderId="0" xfId="0" applyFont="1" applyAlignment="1" applyProtection="1">
      <alignment horizontal="center"/>
      <protection locked="0"/>
    </xf>
    <xf numFmtId="0" fontId="94" fillId="0" borderId="0" xfId="0" applyFont="1" applyAlignment="1" applyProtection="1">
      <alignment vertical="center"/>
      <protection hidden="1"/>
    </xf>
    <xf numFmtId="0" fontId="177" fillId="0" borderId="0" xfId="0" applyFont="1" applyAlignment="1">
      <alignment horizontal="center" vertical="center"/>
    </xf>
    <xf numFmtId="0" fontId="177" fillId="13" borderId="0" xfId="0" applyFont="1" applyFill="1" applyAlignment="1" applyProtection="1">
      <alignment horizontal="center" vertical="center"/>
      <protection locked="0" hidden="1"/>
    </xf>
    <xf numFmtId="0" fontId="176" fillId="0" borderId="45" xfId="0" applyFont="1" applyBorder="1" applyAlignment="1" applyProtection="1">
      <alignment vertical="center"/>
      <protection hidden="1"/>
    </xf>
    <xf numFmtId="0" fontId="176" fillId="0" borderId="0" xfId="0" applyFont="1" applyAlignment="1" applyProtection="1">
      <alignment vertical="center"/>
      <protection hidden="1"/>
    </xf>
    <xf numFmtId="0" fontId="175" fillId="0" borderId="45" xfId="0" applyFont="1" applyBorder="1" applyAlignment="1" applyProtection="1">
      <alignment vertical="center" wrapText="1"/>
      <protection hidden="1"/>
    </xf>
    <xf numFmtId="0" fontId="178" fillId="0" borderId="0" xfId="0" applyFont="1" applyAlignment="1" applyProtection="1">
      <alignment horizontal="justify" vertical="center" wrapText="1"/>
      <protection hidden="1"/>
    </xf>
    <xf numFmtId="0" fontId="175" fillId="0" borderId="0" xfId="0" applyFont="1" applyAlignment="1" applyProtection="1">
      <alignment vertical="center" wrapText="1"/>
      <protection hidden="1"/>
    </xf>
    <xf numFmtId="0" fontId="175" fillId="0" borderId="0" xfId="0" applyFont="1" applyAlignment="1" applyProtection="1">
      <alignment horizontal="justify" vertical="center" wrapText="1"/>
      <protection hidden="1"/>
    </xf>
    <xf numFmtId="0" fontId="175" fillId="0" borderId="0" xfId="0" applyFont="1" applyAlignment="1">
      <alignment vertical="center"/>
    </xf>
    <xf numFmtId="8" fontId="94" fillId="0" borderId="0" xfId="0" applyNumberFormat="1" applyFont="1"/>
    <xf numFmtId="0" fontId="94" fillId="0" borderId="0" xfId="0" applyFont="1" applyAlignment="1" applyProtection="1">
      <alignment horizontal="center" vertical="center"/>
      <protection hidden="1"/>
    </xf>
    <xf numFmtId="167" fontId="94" fillId="0" borderId="0" xfId="18" applyNumberFormat="1" applyFont="1" applyAlignment="1" applyProtection="1">
      <alignment horizontal="center" vertical="center" wrapText="1"/>
      <protection hidden="1"/>
    </xf>
    <xf numFmtId="43" fontId="175" fillId="0" borderId="0" xfId="18" applyFont="1" applyAlignment="1" applyProtection="1">
      <alignment vertical="center"/>
      <protection hidden="1"/>
    </xf>
    <xf numFmtId="7" fontId="175" fillId="0" borderId="0" xfId="0" applyNumberFormat="1" applyFont="1" applyAlignment="1" applyProtection="1">
      <alignment vertical="center"/>
      <protection hidden="1"/>
    </xf>
    <xf numFmtId="0" fontId="178" fillId="13" borderId="0" xfId="0" applyFont="1" applyFill="1" applyAlignment="1" applyProtection="1">
      <alignment vertical="center"/>
      <protection locked="0" hidden="1"/>
    </xf>
    <xf numFmtId="0" fontId="178" fillId="0" borderId="0" xfId="0" applyFont="1" applyAlignment="1" applyProtection="1">
      <alignment vertical="center"/>
      <protection hidden="1"/>
    </xf>
    <xf numFmtId="0" fontId="175" fillId="0" borderId="0" xfId="0" applyFont="1" applyProtection="1">
      <protection hidden="1"/>
    </xf>
    <xf numFmtId="0" fontId="180" fillId="0" borderId="0" xfId="0" applyFont="1" applyAlignment="1" applyProtection="1">
      <alignment horizontal="justify" vertical="top" wrapText="1"/>
      <protection locked="0"/>
    </xf>
    <xf numFmtId="0" fontId="180" fillId="0" borderId="0" xfId="0" applyFont="1" applyAlignment="1" applyProtection="1">
      <alignment vertical="top" wrapText="1"/>
      <protection locked="0"/>
    </xf>
    <xf numFmtId="0" fontId="175" fillId="0" borderId="0" xfId="0" applyFont="1" applyAlignment="1" applyProtection="1">
      <alignment horizontal="center" vertical="center"/>
      <protection hidden="1"/>
    </xf>
    <xf numFmtId="0" fontId="175" fillId="13" borderId="45" xfId="0" applyFont="1" applyFill="1" applyBorder="1" applyAlignment="1" applyProtection="1">
      <alignment horizontal="right" vertical="top"/>
      <protection hidden="1"/>
    </xf>
    <xf numFmtId="10" fontId="175" fillId="13" borderId="0" xfId="0" applyNumberFormat="1" applyFont="1" applyFill="1" applyAlignment="1" applyProtection="1">
      <alignment horizontal="center" vertical="top"/>
      <protection hidden="1"/>
    </xf>
    <xf numFmtId="9" fontId="175" fillId="13" borderId="0" xfId="0" applyNumberFormat="1" applyFont="1" applyFill="1" applyAlignment="1" applyProtection="1">
      <alignment horizontal="right" vertical="top"/>
      <protection hidden="1"/>
    </xf>
    <xf numFmtId="10" fontId="175" fillId="13" borderId="0" xfId="19" applyNumberFormat="1" applyFont="1" applyFill="1" applyBorder="1" applyAlignment="1" applyProtection="1">
      <alignment horizontal="center" vertical="top"/>
      <protection hidden="1"/>
    </xf>
    <xf numFmtId="10" fontId="175" fillId="13" borderId="0" xfId="19" applyNumberFormat="1" applyFont="1" applyFill="1" applyBorder="1" applyAlignment="1" applyProtection="1">
      <alignment horizontal="right" vertical="top"/>
      <protection hidden="1"/>
    </xf>
    <xf numFmtId="0" fontId="94" fillId="13" borderId="45" xfId="0" applyFont="1" applyFill="1" applyBorder="1" applyAlignment="1" applyProtection="1">
      <alignment horizontal="right" vertical="center"/>
      <protection hidden="1"/>
    </xf>
    <xf numFmtId="6" fontId="94" fillId="13" borderId="0" xfId="0" applyNumberFormat="1" applyFont="1" applyFill="1" applyAlignment="1" applyProtection="1">
      <alignment horizontal="center" vertical="center"/>
      <protection hidden="1"/>
    </xf>
    <xf numFmtId="9" fontId="94" fillId="13" borderId="0" xfId="0" applyNumberFormat="1" applyFont="1" applyFill="1" applyAlignment="1" applyProtection="1">
      <alignment horizontal="right" vertical="center"/>
      <protection hidden="1"/>
    </xf>
    <xf numFmtId="5" fontId="94" fillId="13" borderId="0" xfId="19" applyNumberFormat="1" applyFont="1" applyFill="1" applyBorder="1" applyAlignment="1" applyProtection="1">
      <alignment horizontal="center" vertical="center"/>
      <protection hidden="1"/>
    </xf>
    <xf numFmtId="170" fontId="94" fillId="13" borderId="0" xfId="0" applyNumberFormat="1" applyFont="1" applyFill="1" applyAlignment="1" applyProtection="1">
      <alignment horizontal="center" vertical="center"/>
      <protection hidden="1"/>
    </xf>
    <xf numFmtId="5" fontId="94" fillId="13" borderId="0" xfId="19" applyNumberFormat="1" applyFont="1" applyFill="1" applyBorder="1" applyAlignment="1" applyProtection="1">
      <alignment horizontal="right" vertical="center"/>
      <protection hidden="1"/>
    </xf>
    <xf numFmtId="0" fontId="175" fillId="0" borderId="45" xfId="0" applyFont="1" applyBorder="1" applyAlignment="1" applyProtection="1">
      <alignment horizontal="right" vertical="top"/>
      <protection hidden="1"/>
    </xf>
    <xf numFmtId="10" fontId="175" fillId="0" borderId="0" xfId="0" applyNumberFormat="1" applyFont="1" applyAlignment="1" applyProtection="1">
      <alignment horizontal="center" vertical="top"/>
      <protection hidden="1"/>
    </xf>
    <xf numFmtId="9" fontId="175" fillId="0" borderId="0" xfId="0" applyNumberFormat="1" applyFont="1" applyAlignment="1" applyProtection="1">
      <alignment horizontal="right" vertical="top"/>
      <protection hidden="1"/>
    </xf>
    <xf numFmtId="10" fontId="175" fillId="0" borderId="0" xfId="19" applyNumberFormat="1" applyFont="1" applyBorder="1" applyAlignment="1" applyProtection="1">
      <alignment horizontal="center" vertical="top"/>
      <protection hidden="1"/>
    </xf>
    <xf numFmtId="170" fontId="175" fillId="0" borderId="0" xfId="0" applyNumberFormat="1" applyFont="1" applyAlignment="1" applyProtection="1">
      <alignment horizontal="center" vertical="top"/>
      <protection hidden="1"/>
    </xf>
    <xf numFmtId="10" fontId="175" fillId="0" borderId="0" xfId="19" applyNumberFormat="1" applyFont="1" applyBorder="1" applyAlignment="1" applyProtection="1">
      <alignment horizontal="right" vertical="top"/>
      <protection hidden="1"/>
    </xf>
    <xf numFmtId="0" fontId="94" fillId="0" borderId="45" xfId="0" applyFont="1" applyBorder="1" applyAlignment="1" applyProtection="1">
      <alignment horizontal="right" vertical="center"/>
      <protection hidden="1"/>
    </xf>
    <xf numFmtId="6" fontId="94" fillId="0" borderId="0" xfId="0" applyNumberFormat="1" applyFont="1" applyAlignment="1" applyProtection="1">
      <alignment horizontal="center" vertical="center"/>
      <protection hidden="1"/>
    </xf>
    <xf numFmtId="9" fontId="94" fillId="0" borderId="0" xfId="0" applyNumberFormat="1" applyFont="1" applyAlignment="1" applyProtection="1">
      <alignment horizontal="right" vertical="center"/>
      <protection hidden="1"/>
    </xf>
    <xf numFmtId="5" fontId="94" fillId="0" borderId="0" xfId="19" applyNumberFormat="1" applyFont="1" applyBorder="1" applyAlignment="1" applyProtection="1">
      <alignment horizontal="center" vertical="center"/>
      <protection hidden="1"/>
    </xf>
    <xf numFmtId="170" fontId="94" fillId="0" borderId="0" xfId="0" applyNumberFormat="1" applyFont="1" applyAlignment="1" applyProtection="1">
      <alignment horizontal="center" vertical="center"/>
      <protection hidden="1"/>
    </xf>
    <xf numFmtId="5" fontId="94" fillId="0" borderId="0" xfId="19" applyNumberFormat="1" applyFont="1" applyBorder="1" applyAlignment="1" applyProtection="1">
      <alignment horizontal="right" vertical="center"/>
      <protection hidden="1"/>
    </xf>
    <xf numFmtId="0" fontId="175" fillId="0" borderId="0" xfId="0" applyFont="1"/>
    <xf numFmtId="0" fontId="180" fillId="0" borderId="45" xfId="0" applyFont="1" applyBorder="1" applyAlignment="1" applyProtection="1">
      <alignment vertical="top" wrapText="1"/>
      <protection locked="0"/>
    </xf>
    <xf numFmtId="0" fontId="175" fillId="0" borderId="0" xfId="0" applyFont="1" applyAlignment="1" applyProtection="1">
      <alignment horizontal="center" vertical="center" wrapText="1"/>
      <protection hidden="1"/>
    </xf>
    <xf numFmtId="41" fontId="175" fillId="0" borderId="4" xfId="19" applyFont="1" applyBorder="1" applyAlignment="1" applyProtection="1">
      <protection locked="0"/>
    </xf>
    <xf numFmtId="41" fontId="175" fillId="0" borderId="0" xfId="19" applyFont="1" applyBorder="1" applyAlignment="1" applyProtection="1">
      <protection locked="0"/>
    </xf>
    <xf numFmtId="41" fontId="175" fillId="0" borderId="0" xfId="19" applyFont="1" applyFill="1" applyBorder="1" applyAlignment="1" applyProtection="1"/>
    <xf numFmtId="0" fontId="94" fillId="0" borderId="0" xfId="0" applyFont="1" applyAlignment="1">
      <alignment horizontal="center" vertical="center"/>
    </xf>
    <xf numFmtId="0" fontId="175" fillId="0" borderId="0" xfId="0" applyFont="1" applyProtection="1">
      <protection locked="0"/>
    </xf>
    <xf numFmtId="0" fontId="175" fillId="0" borderId="0" xfId="0" applyFont="1" applyAlignment="1" applyProtection="1">
      <alignment vertical="center"/>
      <protection locked="0"/>
    </xf>
    <xf numFmtId="0" fontId="175" fillId="0" borderId="0" xfId="0" applyFont="1" applyAlignment="1" applyProtection="1">
      <alignment horizontal="center" vertical="center"/>
      <protection locked="0"/>
    </xf>
    <xf numFmtId="0" fontId="175" fillId="13" borderId="0" xfId="0" applyFont="1" applyFill="1" applyProtection="1">
      <protection locked="0"/>
    </xf>
    <xf numFmtId="0" fontId="175" fillId="30" borderId="0" xfId="0" applyFont="1" applyFill="1"/>
    <xf numFmtId="0" fontId="175" fillId="30" borderId="0" xfId="0" applyFont="1" applyFill="1" applyAlignment="1">
      <alignment horizontal="center"/>
    </xf>
    <xf numFmtId="0" fontId="175" fillId="0" borderId="0" xfId="0" applyFont="1" applyAlignment="1">
      <alignment horizontal="center" vertical="center" wrapText="1"/>
    </xf>
    <xf numFmtId="0" fontId="175" fillId="0" borderId="0" xfId="0" applyFont="1" applyAlignment="1">
      <alignment horizontal="center" vertical="center"/>
    </xf>
    <xf numFmtId="0" fontId="10" fillId="0" borderId="0" xfId="0" applyFont="1" applyAlignment="1" applyProtection="1">
      <alignment horizontal="center" vertical="center"/>
      <protection hidden="1"/>
    </xf>
    <xf numFmtId="0" fontId="25" fillId="0" borderId="0" xfId="0" applyFont="1" applyAlignment="1">
      <alignment horizontal="right" vertical="center"/>
    </xf>
    <xf numFmtId="0" fontId="4" fillId="0" borderId="0" xfId="0" applyFont="1" applyProtection="1">
      <protection hidden="1"/>
    </xf>
    <xf numFmtId="0" fontId="19" fillId="0" borderId="0" xfId="0" applyFont="1" applyAlignment="1" applyProtection="1">
      <alignment vertical="center" wrapText="1"/>
      <protection hidden="1"/>
    </xf>
    <xf numFmtId="2" fontId="19" fillId="0" borderId="0" xfId="0" applyNumberFormat="1" applyFont="1" applyAlignment="1" applyProtection="1">
      <alignment vertical="center"/>
      <protection hidden="1"/>
    </xf>
    <xf numFmtId="180" fontId="19" fillId="0" borderId="0" xfId="18" applyNumberFormat="1" applyFont="1" applyAlignment="1" applyProtection="1">
      <alignment vertical="center"/>
      <protection hidden="1"/>
    </xf>
    <xf numFmtId="10" fontId="14" fillId="0" borderId="0" xfId="2" applyNumberFormat="1" applyFont="1" applyAlignment="1" applyProtection="1">
      <alignment vertical="center"/>
      <protection hidden="1"/>
    </xf>
    <xf numFmtId="0" fontId="47" fillId="0" borderId="4" xfId="0" applyFont="1" applyBorder="1" applyProtection="1">
      <protection hidden="1"/>
    </xf>
    <xf numFmtId="0" fontId="47" fillId="0" borderId="4" xfId="0" applyFont="1" applyBorder="1" applyAlignment="1" applyProtection="1">
      <alignment horizontal="right"/>
      <protection hidden="1"/>
    </xf>
    <xf numFmtId="0" fontId="47" fillId="9" borderId="4" xfId="0" applyFont="1" applyFill="1" applyBorder="1" applyAlignment="1" applyProtection="1">
      <alignment horizontal="center" vertical="center"/>
      <protection hidden="1"/>
    </xf>
    <xf numFmtId="0" fontId="4" fillId="0" borderId="0" xfId="0" applyFont="1" applyAlignment="1" applyProtection="1">
      <alignment horizontal="center" vertical="center" wrapText="1"/>
      <protection locked="0"/>
    </xf>
    <xf numFmtId="2" fontId="14" fillId="0" borderId="0" xfId="0" applyNumberFormat="1" applyFont="1"/>
    <xf numFmtId="170" fontId="14" fillId="0" borderId="0" xfId="0" applyNumberFormat="1" applyFont="1"/>
    <xf numFmtId="180" fontId="14" fillId="0" borderId="0" xfId="18" applyNumberFormat="1" applyFont="1"/>
    <xf numFmtId="0" fontId="35" fillId="0" borderId="4" xfId="0" applyFont="1" applyBorder="1" applyAlignment="1" applyProtection="1">
      <alignment horizontal="right" vertical="center"/>
      <protection hidden="1"/>
    </xf>
    <xf numFmtId="0" fontId="14" fillId="47" borderId="4" xfId="0" applyFont="1" applyFill="1" applyBorder="1" applyProtection="1">
      <protection locked="0"/>
    </xf>
    <xf numFmtId="0" fontId="47" fillId="0" borderId="0" xfId="0" applyFont="1" applyProtection="1">
      <protection hidden="1"/>
    </xf>
    <xf numFmtId="14" fontId="47" fillId="0" borderId="0" xfId="0" applyNumberFormat="1" applyFont="1" applyAlignment="1" applyProtection="1">
      <alignment horizontal="justify"/>
      <protection hidden="1"/>
    </xf>
    <xf numFmtId="0" fontId="35" fillId="0" borderId="0" xfId="0" applyFont="1" applyAlignment="1" applyProtection="1">
      <alignment horizontal="right" vertical="center"/>
      <protection hidden="1"/>
    </xf>
    <xf numFmtId="14" fontId="25" fillId="0" borderId="0" xfId="0" applyNumberFormat="1" applyFont="1" applyAlignment="1" applyProtection="1">
      <alignment horizontal="center" vertical="center"/>
      <protection hidden="1"/>
    </xf>
    <xf numFmtId="10" fontId="51" fillId="0" borderId="0" xfId="2" applyNumberFormat="1" applyFont="1" applyFill="1" applyBorder="1" applyAlignment="1" applyProtection="1">
      <alignment horizontal="right" vertical="center"/>
      <protection hidden="1"/>
    </xf>
    <xf numFmtId="0" fontId="14" fillId="13" borderId="0" xfId="0" applyFont="1" applyFill="1" applyAlignment="1" applyProtection="1">
      <alignment wrapText="1"/>
      <protection locked="0"/>
    </xf>
    <xf numFmtId="0" fontId="4" fillId="13" borderId="0" xfId="0" applyFont="1" applyFill="1" applyAlignment="1" applyProtection="1">
      <alignment wrapText="1"/>
      <protection locked="0"/>
    </xf>
    <xf numFmtId="0" fontId="10" fillId="13" borderId="33" xfId="16" applyFont="1" applyFill="1" applyBorder="1" applyAlignment="1" applyProtection="1">
      <alignment horizontal="center" vertical="center" wrapText="1"/>
      <protection locked="0"/>
    </xf>
    <xf numFmtId="0" fontId="10" fillId="13" borderId="0" xfId="16" applyFont="1" applyFill="1" applyBorder="1" applyAlignment="1" applyProtection="1">
      <alignment horizontal="center" vertical="center" wrapText="1"/>
      <protection locked="0"/>
    </xf>
    <xf numFmtId="170" fontId="25" fillId="67" borderId="4" xfId="2" applyNumberFormat="1" applyFont="1" applyFill="1" applyBorder="1" applyAlignment="1" applyProtection="1">
      <alignment horizontal="left" vertical="center" wrapText="1"/>
      <protection hidden="1"/>
    </xf>
    <xf numFmtId="0" fontId="4" fillId="13" borderId="0" xfId="0" applyFont="1" applyFill="1" applyAlignment="1" applyProtection="1">
      <alignment horizontal="center" vertical="center" wrapText="1"/>
      <protection locked="0"/>
    </xf>
    <xf numFmtId="0" fontId="14" fillId="13" borderId="0" xfId="0" applyFont="1" applyFill="1" applyAlignment="1" applyProtection="1">
      <alignment horizontal="center" vertical="center" wrapText="1"/>
      <protection locked="0"/>
    </xf>
    <xf numFmtId="181" fontId="14" fillId="13" borderId="0" xfId="0" applyNumberFormat="1" applyFont="1" applyFill="1" applyAlignment="1" applyProtection="1">
      <alignment horizontal="center" vertical="center" wrapText="1"/>
      <protection locked="0"/>
    </xf>
    <xf numFmtId="0" fontId="4" fillId="4" borderId="4" xfId="0" applyFont="1" applyFill="1" applyBorder="1" applyAlignment="1" applyProtection="1">
      <alignment horizontal="center" vertical="center" wrapText="1"/>
      <protection locked="0"/>
    </xf>
    <xf numFmtId="0" fontId="4" fillId="12" borderId="9" xfId="0" applyFont="1" applyFill="1" applyBorder="1" applyAlignment="1" applyProtection="1">
      <alignment horizontal="center" vertical="center" wrapText="1"/>
      <protection locked="0"/>
    </xf>
    <xf numFmtId="0" fontId="4" fillId="12" borderId="4" xfId="0" applyFont="1" applyFill="1" applyBorder="1" applyAlignment="1" applyProtection="1">
      <alignment horizontal="center" vertical="center" wrapText="1"/>
      <protection locked="0"/>
    </xf>
    <xf numFmtId="3" fontId="14" fillId="0" borderId="4" xfId="0" applyNumberFormat="1" applyFont="1" applyBorder="1" applyAlignment="1" applyProtection="1">
      <alignment vertical="center" wrapText="1"/>
      <protection locked="0"/>
    </xf>
    <xf numFmtId="3" fontId="14" fillId="0" borderId="4" xfId="15" applyNumberFormat="1" applyFont="1" applyFill="1" applyBorder="1" applyAlignment="1" applyProtection="1">
      <alignment horizontal="center" vertical="center" wrapText="1"/>
      <protection locked="0"/>
    </xf>
    <xf numFmtId="3" fontId="14" fillId="0" borderId="4" xfId="0" applyNumberFormat="1" applyFont="1" applyBorder="1" applyAlignment="1" applyProtection="1">
      <alignment horizontal="center" vertical="center" wrapText="1"/>
      <protection locked="0"/>
    </xf>
    <xf numFmtId="166" fontId="14" fillId="13" borderId="0" xfId="0" applyNumberFormat="1" applyFont="1" applyFill="1" applyAlignment="1" applyProtection="1">
      <alignment horizontal="center" vertical="center" wrapText="1"/>
      <protection locked="0"/>
    </xf>
    <xf numFmtId="0" fontId="4" fillId="48" borderId="9" xfId="0" applyFont="1" applyFill="1" applyBorder="1" applyAlignment="1" applyProtection="1">
      <alignment horizontal="center" vertical="center" wrapText="1"/>
      <protection locked="0"/>
    </xf>
    <xf numFmtId="0" fontId="4" fillId="48" borderId="4" xfId="0" applyFont="1" applyFill="1" applyBorder="1" applyAlignment="1" applyProtection="1">
      <alignment horizontal="center" vertical="center" wrapText="1"/>
      <protection locked="0"/>
    </xf>
    <xf numFmtId="0" fontId="4" fillId="6" borderId="4" xfId="0" applyFont="1" applyFill="1" applyBorder="1" applyAlignment="1" applyProtection="1">
      <alignment horizontal="center" vertical="center" wrapText="1"/>
      <protection locked="0"/>
    </xf>
    <xf numFmtId="0" fontId="4" fillId="5" borderId="9" xfId="0" applyFont="1" applyFill="1" applyBorder="1" applyAlignment="1" applyProtection="1">
      <alignment horizontal="center" vertical="center" wrapText="1"/>
      <protection locked="0"/>
    </xf>
    <xf numFmtId="0" fontId="4" fillId="5" borderId="4" xfId="0" applyFont="1" applyFill="1" applyBorder="1" applyAlignment="1" applyProtection="1">
      <alignment horizontal="center" vertical="center" wrapText="1"/>
      <protection locked="0"/>
    </xf>
    <xf numFmtId="0" fontId="4" fillId="49" borderId="9" xfId="0" applyFont="1" applyFill="1" applyBorder="1" applyAlignment="1" applyProtection="1">
      <alignment horizontal="center" vertical="center" wrapText="1"/>
      <protection locked="0"/>
    </xf>
    <xf numFmtId="0" fontId="4" fillId="49" borderId="4" xfId="0" applyFont="1" applyFill="1" applyBorder="1" applyAlignment="1" applyProtection="1">
      <alignment horizontal="center" vertical="center" wrapText="1"/>
      <protection locked="0"/>
    </xf>
    <xf numFmtId="0" fontId="4" fillId="0" borderId="4" xfId="0" applyFont="1" applyBorder="1" applyAlignment="1" applyProtection="1">
      <alignment vertical="center" wrapText="1"/>
      <protection locked="0"/>
    </xf>
    <xf numFmtId="0" fontId="4" fillId="0" borderId="9" xfId="0" applyFont="1" applyBorder="1" applyAlignment="1" applyProtection="1">
      <alignment vertical="center" wrapText="1"/>
      <protection locked="0"/>
    </xf>
    <xf numFmtId="0" fontId="4" fillId="0" borderId="4" xfId="0" applyFont="1" applyBorder="1" applyAlignment="1" applyProtection="1">
      <alignment horizontal="center" vertical="center" wrapText="1"/>
      <protection locked="0"/>
    </xf>
    <xf numFmtId="0" fontId="4" fillId="0" borderId="21" xfId="0" applyFont="1" applyBorder="1" applyAlignment="1" applyProtection="1">
      <alignment horizontal="center" vertical="center" wrapText="1"/>
      <protection locked="0"/>
    </xf>
    <xf numFmtId="3" fontId="14" fillId="13" borderId="0" xfId="0" applyNumberFormat="1" applyFont="1" applyFill="1" applyAlignment="1" applyProtection="1">
      <alignment horizontal="center" vertical="center" wrapText="1"/>
      <protection locked="0"/>
    </xf>
    <xf numFmtId="0" fontId="4" fillId="13" borderId="21" xfId="0" applyFont="1" applyFill="1" applyBorder="1" applyAlignment="1" applyProtection="1">
      <alignment horizontal="center" vertical="center" wrapText="1"/>
      <protection locked="0"/>
    </xf>
    <xf numFmtId="0" fontId="47" fillId="13" borderId="21" xfId="0" applyFont="1" applyFill="1" applyBorder="1" applyAlignment="1" applyProtection="1">
      <alignment horizontal="left" vertical="center" wrapText="1"/>
      <protection locked="0"/>
    </xf>
    <xf numFmtId="0" fontId="9" fillId="13" borderId="21" xfId="0" applyFont="1" applyFill="1" applyBorder="1" applyAlignment="1" applyProtection="1">
      <alignment horizontal="justify" vertical="center"/>
      <protection locked="0"/>
    </xf>
    <xf numFmtId="0" fontId="9" fillId="49" borderId="21" xfId="28" applyFill="1" applyBorder="1" applyAlignment="1" applyProtection="1">
      <alignment horizontal="justify" vertical="center" wrapText="1"/>
      <protection locked="0"/>
    </xf>
    <xf numFmtId="0" fontId="9" fillId="13" borderId="21" xfId="28" applyFill="1" applyBorder="1" applyAlignment="1" applyProtection="1">
      <alignment horizontal="justify" vertical="center" wrapText="1"/>
      <protection locked="0"/>
    </xf>
    <xf numFmtId="0" fontId="9" fillId="50" borderId="21" xfId="28" applyFill="1" applyBorder="1" applyAlignment="1" applyProtection="1">
      <alignment horizontal="justify" vertical="center" wrapText="1"/>
      <protection locked="0"/>
    </xf>
    <xf numFmtId="0" fontId="54" fillId="13" borderId="21" xfId="28" applyFont="1" applyFill="1" applyBorder="1" applyAlignment="1" applyProtection="1">
      <alignment horizontal="justify" vertical="center" wrapText="1"/>
      <protection locked="0"/>
    </xf>
    <xf numFmtId="0" fontId="4" fillId="0" borderId="46" xfId="0" applyFont="1" applyBorder="1" applyAlignment="1" applyProtection="1">
      <alignment horizontal="center" vertical="center" wrapText="1"/>
      <protection locked="0"/>
    </xf>
    <xf numFmtId="3" fontId="124" fillId="0" borderId="21" xfId="29" applyNumberFormat="1" applyFont="1" applyBorder="1" applyAlignment="1" applyProtection="1">
      <alignment horizontal="center" vertical="center" wrapText="1"/>
      <protection locked="0"/>
    </xf>
    <xf numFmtId="0" fontId="124" fillId="13" borderId="21" xfId="30" applyFont="1" applyFill="1" applyBorder="1" applyAlignment="1" applyProtection="1">
      <alignment horizontal="center" vertical="center" wrapText="1"/>
      <protection locked="0"/>
    </xf>
    <xf numFmtId="49" fontId="124" fillId="13" borderId="21" xfId="30" applyNumberFormat="1" applyFont="1" applyFill="1" applyBorder="1" applyAlignment="1" applyProtection="1">
      <alignment horizontal="center" vertical="center" wrapText="1"/>
      <protection locked="0"/>
    </xf>
    <xf numFmtId="49" fontId="124" fillId="13" borderId="96" xfId="30" applyNumberFormat="1" applyFont="1" applyFill="1" applyBorder="1" applyAlignment="1" applyProtection="1">
      <alignment horizontal="center" vertical="center" wrapText="1"/>
      <protection locked="0"/>
    </xf>
    <xf numFmtId="49" fontId="124" fillId="13" borderId="158" xfId="30" applyNumberFormat="1" applyFont="1" applyFill="1" applyBorder="1" applyAlignment="1" applyProtection="1">
      <alignment horizontal="center" vertical="center" wrapText="1"/>
      <protection locked="0"/>
    </xf>
    <xf numFmtId="3" fontId="14" fillId="0" borderId="20" xfId="0" applyNumberFormat="1" applyFont="1" applyBorder="1" applyAlignment="1" applyProtection="1">
      <alignment horizontal="center" vertical="center" wrapText="1"/>
      <protection locked="0"/>
    </xf>
    <xf numFmtId="9" fontId="4" fillId="13" borderId="21" xfId="31" applyFont="1" applyFill="1" applyBorder="1" applyAlignment="1" applyProtection="1">
      <alignment horizontal="right" vertical="center" wrapText="1"/>
      <protection locked="0"/>
    </xf>
    <xf numFmtId="9" fontId="4" fillId="0" borderId="21" xfId="31" applyFont="1" applyBorder="1" applyAlignment="1" applyProtection="1">
      <alignment horizontal="right" vertical="center" wrapText="1"/>
      <protection locked="0"/>
    </xf>
    <xf numFmtId="0" fontId="47" fillId="51" borderId="21" xfId="0" applyFont="1" applyFill="1" applyBorder="1" applyAlignment="1" applyProtection="1">
      <alignment horizontal="justify" vertical="top" wrapText="1"/>
      <protection locked="0"/>
    </xf>
    <xf numFmtId="0" fontId="47" fillId="13" borderId="21" xfId="0" applyFont="1" applyFill="1" applyBorder="1" applyAlignment="1" applyProtection="1">
      <alignment horizontal="justify" vertical="top" wrapText="1"/>
      <protection locked="0"/>
    </xf>
    <xf numFmtId="0" fontId="53" fillId="0" borderId="21" xfId="28" applyFont="1" applyBorder="1" applyAlignment="1" applyProtection="1">
      <alignment horizontal="justify" vertical="top" wrapText="1"/>
      <protection locked="0"/>
    </xf>
    <xf numFmtId="0" fontId="9" fillId="13" borderId="21" xfId="0" applyFont="1" applyFill="1" applyBorder="1" applyAlignment="1" applyProtection="1">
      <alignment horizontal="justify" vertical="top"/>
      <protection locked="0"/>
    </xf>
    <xf numFmtId="0" fontId="53" fillId="13" borderId="21" xfId="28" applyFont="1" applyFill="1" applyBorder="1" applyAlignment="1" applyProtection="1">
      <alignment horizontal="justify" vertical="center" wrapText="1"/>
      <protection locked="0"/>
    </xf>
    <xf numFmtId="0" fontId="53" fillId="51" borderId="21" xfId="28" applyFont="1" applyFill="1" applyBorder="1" applyAlignment="1" applyProtection="1">
      <alignment horizontal="justify" vertical="center" wrapText="1"/>
      <protection locked="0"/>
    </xf>
    <xf numFmtId="0" fontId="9" fillId="0" borderId="21" xfId="28" applyBorder="1" applyAlignment="1" applyProtection="1">
      <alignment horizontal="justify" vertical="center" wrapText="1"/>
      <protection locked="0"/>
    </xf>
    <xf numFmtId="0" fontId="4" fillId="0" borderId="20" xfId="0" applyFont="1" applyBorder="1" applyAlignment="1" applyProtection="1">
      <alignment vertical="center" wrapText="1"/>
      <protection locked="0"/>
    </xf>
    <xf numFmtId="0" fontId="4" fillId="0" borderId="94" xfId="0" applyFont="1" applyBorder="1" applyAlignment="1" applyProtection="1">
      <alignment vertical="center" wrapText="1"/>
      <protection locked="0"/>
    </xf>
    <xf numFmtId="0" fontId="4" fillId="0" borderId="0" xfId="0" applyFont="1" applyAlignment="1" applyProtection="1">
      <alignment vertical="center" wrapText="1"/>
      <protection locked="0"/>
    </xf>
    <xf numFmtId="2" fontId="4" fillId="0" borderId="0" xfId="0" applyNumberFormat="1" applyFont="1" applyAlignment="1" applyProtection="1">
      <alignment horizontal="center" vertical="center" wrapText="1"/>
      <protection locked="0"/>
    </xf>
    <xf numFmtId="174" fontId="14" fillId="0" borderId="0" xfId="0" applyNumberFormat="1" applyFont="1" applyAlignment="1" applyProtection="1">
      <alignment horizontal="center" vertical="center" wrapText="1"/>
      <protection locked="0"/>
    </xf>
    <xf numFmtId="0" fontId="14" fillId="0" borderId="0" xfId="0" applyFont="1" applyAlignment="1" applyProtection="1">
      <alignment horizontal="center" vertical="center" wrapText="1"/>
      <protection locked="0"/>
    </xf>
    <xf numFmtId="2" fontId="14" fillId="0" borderId="0" xfId="0" applyNumberFormat="1" applyFont="1" applyAlignment="1" applyProtection="1">
      <alignment vertical="center" wrapText="1"/>
      <protection locked="0"/>
    </xf>
    <xf numFmtId="180" fontId="14" fillId="0" borderId="0" xfId="18" applyNumberFormat="1" applyFont="1" applyAlignment="1" applyProtection="1">
      <alignment horizontal="center" vertical="center" wrapText="1"/>
      <protection locked="0"/>
    </xf>
    <xf numFmtId="180" fontId="14" fillId="0" borderId="0" xfId="18" applyNumberFormat="1" applyFont="1" applyAlignment="1" applyProtection="1">
      <alignment vertical="center" wrapText="1"/>
      <protection locked="0"/>
    </xf>
    <xf numFmtId="0" fontId="25" fillId="0" borderId="4" xfId="0" applyFont="1" applyBorder="1" applyAlignment="1" applyProtection="1">
      <alignment horizontal="center" vertical="center"/>
      <protection locked="0"/>
    </xf>
    <xf numFmtId="0" fontId="25" fillId="0" borderId="0" xfId="0" applyFont="1" applyAlignment="1" applyProtection="1">
      <alignment horizontal="center" vertical="center"/>
      <protection locked="0"/>
    </xf>
    <xf numFmtId="179" fontId="14" fillId="9" borderId="4" xfId="0" applyNumberFormat="1" applyFont="1" applyFill="1" applyBorder="1" applyAlignment="1">
      <alignment horizontal="center" vertical="center"/>
    </xf>
    <xf numFmtId="179" fontId="14" fillId="0" borderId="4" xfId="0" applyNumberFormat="1" applyFont="1" applyBorder="1" applyAlignment="1" applyProtection="1">
      <alignment vertical="center"/>
      <protection locked="0"/>
    </xf>
    <xf numFmtId="179" fontId="14" fillId="0" borderId="0" xfId="0" applyNumberFormat="1" applyFont="1" applyAlignment="1" applyProtection="1">
      <alignment vertical="center"/>
      <protection locked="0"/>
    </xf>
    <xf numFmtId="0" fontId="47" fillId="52" borderId="89" xfId="0" applyFont="1" applyFill="1" applyBorder="1"/>
    <xf numFmtId="0" fontId="14" fillId="20" borderId="0" xfId="0" applyFont="1" applyFill="1" applyAlignment="1" applyProtection="1">
      <alignment horizontal="center" vertical="center" wrapText="1"/>
      <protection locked="0"/>
    </xf>
    <xf numFmtId="0" fontId="4" fillId="20" borderId="0" xfId="0" applyFont="1" applyFill="1" applyAlignment="1" applyProtection="1">
      <alignment horizontal="center" vertical="center" wrapText="1"/>
      <protection locked="0"/>
    </xf>
    <xf numFmtId="2" fontId="4" fillId="20" borderId="0" xfId="0" applyNumberFormat="1" applyFont="1" applyFill="1" applyAlignment="1" applyProtection="1">
      <alignment horizontal="center" vertical="center" wrapText="1"/>
      <protection locked="0"/>
    </xf>
    <xf numFmtId="2" fontId="14" fillId="20" borderId="0" xfId="0" applyNumberFormat="1" applyFont="1" applyFill="1" applyAlignment="1" applyProtection="1">
      <alignment vertical="center" wrapText="1"/>
      <protection locked="0"/>
    </xf>
    <xf numFmtId="180" fontId="14" fillId="20" borderId="0" xfId="18" applyNumberFormat="1" applyFont="1" applyFill="1" applyAlignment="1" applyProtection="1">
      <alignment vertical="center" wrapText="1"/>
      <protection locked="0"/>
    </xf>
    <xf numFmtId="0" fontId="14" fillId="20" borderId="0" xfId="0" applyFont="1" applyFill="1" applyAlignment="1" applyProtection="1">
      <alignment wrapText="1"/>
      <protection locked="0"/>
    </xf>
    <xf numFmtId="0" fontId="47" fillId="20" borderId="89" xfId="0" applyFont="1" applyFill="1" applyBorder="1"/>
    <xf numFmtId="184" fontId="25" fillId="0" borderId="4" xfId="0" applyNumberFormat="1" applyFont="1" applyBorder="1" applyAlignment="1">
      <alignment horizontal="center" vertical="center" wrapText="1"/>
    </xf>
    <xf numFmtId="184" fontId="25" fillId="0" borderId="4" xfId="27" applyNumberFormat="1" applyFont="1" applyBorder="1" applyAlignment="1" applyProtection="1">
      <alignment horizontal="center" vertical="center" wrapText="1"/>
    </xf>
    <xf numFmtId="14" fontId="47" fillId="0" borderId="155" xfId="0" applyNumberFormat="1" applyFont="1" applyBorder="1" applyAlignment="1" applyProtection="1">
      <alignment horizontal="justify"/>
      <protection hidden="1"/>
    </xf>
    <xf numFmtId="0" fontId="22" fillId="30" borderId="54" xfId="0" applyFont="1" applyFill="1" applyBorder="1" applyAlignment="1" applyProtection="1">
      <alignment horizontal="center" vertical="center" wrapText="1"/>
      <protection hidden="1"/>
    </xf>
    <xf numFmtId="0" fontId="163" fillId="64" borderId="54" xfId="0" applyFont="1" applyFill="1" applyBorder="1" applyAlignment="1" applyProtection="1">
      <alignment horizontal="center" vertical="center" wrapText="1"/>
      <protection hidden="1"/>
    </xf>
    <xf numFmtId="0" fontId="35" fillId="0" borderId="4" xfId="0" applyFont="1" applyBorder="1" applyAlignment="1" applyProtection="1">
      <alignment horizontal="center" vertical="center"/>
      <protection hidden="1"/>
    </xf>
    <xf numFmtId="0" fontId="14" fillId="0" borderId="33" xfId="0" applyFont="1" applyBorder="1" applyAlignment="1">
      <alignment horizontal="left" vertical="center"/>
    </xf>
    <xf numFmtId="0" fontId="3" fillId="0" borderId="4" xfId="0" applyFont="1" applyBorder="1" applyAlignment="1" applyProtection="1">
      <alignment horizontal="center" vertical="center"/>
      <protection hidden="1"/>
    </xf>
    <xf numFmtId="173" fontId="14" fillId="0" borderId="4" xfId="0" applyNumberFormat="1" applyFont="1" applyBorder="1" applyAlignment="1" applyProtection="1">
      <alignment horizontal="center" vertical="center"/>
      <protection hidden="1"/>
    </xf>
    <xf numFmtId="0" fontId="3" fillId="69" borderId="4" xfId="0" applyFont="1" applyFill="1" applyBorder="1" applyAlignment="1" applyProtection="1">
      <alignment horizontal="center" vertical="center"/>
      <protection hidden="1"/>
    </xf>
    <xf numFmtId="0" fontId="3" fillId="59" borderId="4" xfId="0" applyFont="1" applyFill="1" applyBorder="1" applyAlignment="1" applyProtection="1">
      <alignment horizontal="center" vertical="center"/>
      <protection hidden="1"/>
    </xf>
    <xf numFmtId="0" fontId="14" fillId="69" borderId="4" xfId="0" applyFont="1" applyFill="1" applyBorder="1" applyAlignment="1" applyProtection="1">
      <alignment horizontal="left" vertical="center"/>
      <protection hidden="1"/>
    </xf>
    <xf numFmtId="2" fontId="14" fillId="59" borderId="4" xfId="0" applyNumberFormat="1" applyFont="1" applyFill="1" applyBorder="1" applyAlignment="1" applyProtection="1">
      <alignment horizontal="center" vertical="center"/>
      <protection hidden="1"/>
    </xf>
    <xf numFmtId="0" fontId="14" fillId="6" borderId="4" xfId="0" applyFont="1" applyFill="1" applyBorder="1" applyAlignment="1" applyProtection="1">
      <alignment horizontal="center" vertical="center"/>
      <protection hidden="1"/>
    </xf>
    <xf numFmtId="0" fontId="3" fillId="36" borderId="0" xfId="0" applyFont="1" applyFill="1" applyAlignment="1" applyProtection="1">
      <alignment horizontal="center" vertical="center" wrapText="1"/>
      <protection locked="0"/>
    </xf>
    <xf numFmtId="0" fontId="3" fillId="36" borderId="4" xfId="0" applyFont="1" applyFill="1" applyBorder="1" applyAlignment="1" applyProtection="1">
      <alignment horizontal="center" vertical="center" wrapText="1"/>
      <protection locked="0"/>
    </xf>
    <xf numFmtId="0" fontId="19" fillId="0" borderId="0" xfId="0" applyFont="1" applyAlignment="1" applyProtection="1">
      <alignment horizontal="center" vertical="center" wrapText="1"/>
      <protection locked="0"/>
    </xf>
    <xf numFmtId="14" fontId="14" fillId="0" borderId="13" xfId="0" applyNumberFormat="1" applyFont="1" applyBorder="1" applyAlignment="1" applyProtection="1">
      <alignment horizontal="left" vertical="center"/>
      <protection locked="0"/>
    </xf>
    <xf numFmtId="0" fontId="9" fillId="0" borderId="4" xfId="0" applyFont="1" applyBorder="1" applyAlignment="1" applyProtection="1">
      <alignment vertical="center" wrapText="1"/>
      <protection locked="0" hidden="1"/>
    </xf>
    <xf numFmtId="0" fontId="47" fillId="0" borderId="4" xfId="0" applyFont="1" applyBorder="1" applyAlignment="1" applyProtection="1">
      <alignment vertical="center" wrapText="1"/>
      <protection locked="0" hidden="1"/>
    </xf>
    <xf numFmtId="0" fontId="9" fillId="0" borderId="4" xfId="0" applyFont="1" applyBorder="1" applyAlignment="1">
      <alignment vertical="center" wrapText="1"/>
    </xf>
    <xf numFmtId="0" fontId="35" fillId="25" borderId="4" xfId="0" applyFont="1" applyFill="1" applyBorder="1" applyAlignment="1" applyProtection="1">
      <alignment horizontal="center" vertical="center"/>
      <protection hidden="1"/>
    </xf>
    <xf numFmtId="0" fontId="74" fillId="25" borderId="14" xfId="0" applyFont="1" applyFill="1" applyBorder="1" applyAlignment="1" applyProtection="1">
      <alignment horizontal="center" vertical="center" wrapText="1"/>
      <protection hidden="1"/>
    </xf>
    <xf numFmtId="0" fontId="35" fillId="25" borderId="14" xfId="0" applyFont="1" applyFill="1" applyBorder="1" applyAlignment="1" applyProtection="1">
      <alignment horizontal="center" vertical="center" wrapText="1"/>
      <protection hidden="1"/>
    </xf>
    <xf numFmtId="0" fontId="74" fillId="51" borderId="14" xfId="0" applyFont="1" applyFill="1" applyBorder="1" applyAlignment="1" applyProtection="1">
      <alignment horizontal="center" vertical="center" wrapText="1"/>
      <protection hidden="1"/>
    </xf>
    <xf numFmtId="3" fontId="47" fillId="0" borderId="4" xfId="0" applyNumberFormat="1" applyFont="1" applyBorder="1" applyAlignment="1" applyProtection="1">
      <alignment vertical="center"/>
      <protection hidden="1"/>
    </xf>
    <xf numFmtId="0" fontId="25" fillId="5" borderId="51" xfId="5" applyFont="1" applyFill="1" applyBorder="1" applyAlignment="1" applyProtection="1">
      <alignment horizontal="center" vertical="center" wrapText="1"/>
      <protection hidden="1"/>
    </xf>
    <xf numFmtId="0" fontId="9" fillId="12" borderId="4" xfId="8" applyFont="1" applyFill="1" applyBorder="1" applyAlignment="1" applyProtection="1">
      <alignment vertical="center" wrapText="1"/>
    </xf>
    <xf numFmtId="14" fontId="20" fillId="0" borderId="0" xfId="5" applyNumberFormat="1" applyFont="1" applyAlignment="1" applyProtection="1">
      <alignment horizontal="center" vertical="center"/>
      <protection locked="0"/>
    </xf>
    <xf numFmtId="0" fontId="29" fillId="0" borderId="126" xfId="5" applyFont="1" applyBorder="1" applyAlignment="1">
      <alignment vertical="center"/>
    </xf>
    <xf numFmtId="0" fontId="29" fillId="0" borderId="2" xfId="5" applyFont="1" applyBorder="1" applyAlignment="1">
      <alignment vertical="center"/>
    </xf>
    <xf numFmtId="0" fontId="29" fillId="0" borderId="0" xfId="5" applyFont="1" applyAlignment="1">
      <alignment vertical="center"/>
    </xf>
    <xf numFmtId="14" fontId="14" fillId="0" borderId="0" xfId="0" applyNumberFormat="1" applyFont="1" applyAlignment="1" applyProtection="1">
      <alignment horizontal="left" vertical="center"/>
      <protection locked="0"/>
    </xf>
    <xf numFmtId="170" fontId="28" fillId="15" borderId="130" xfId="7" applyNumberFormat="1" applyFont="1" applyFill="1" applyBorder="1" applyAlignment="1" applyProtection="1">
      <alignment horizontal="center" vertical="center" wrapText="1"/>
      <protection hidden="1"/>
    </xf>
    <xf numFmtId="0" fontId="65" fillId="29" borderId="125" xfId="34" applyFont="1" applyFill="1" applyBorder="1" applyAlignment="1" applyProtection="1">
      <alignment horizontal="center" vertical="center" wrapText="1"/>
      <protection hidden="1"/>
    </xf>
    <xf numFmtId="0" fontId="65" fillId="29" borderId="129" xfId="34" applyFont="1" applyFill="1" applyBorder="1" applyAlignment="1" applyProtection="1">
      <alignment horizontal="center" vertical="center" wrapText="1"/>
      <protection hidden="1"/>
    </xf>
    <xf numFmtId="170" fontId="65" fillId="65" borderId="131" xfId="5" applyNumberFormat="1" applyFont="1" applyFill="1" applyBorder="1" applyAlignment="1" applyProtection="1">
      <alignment horizontal="center" vertical="center" wrapText="1"/>
      <protection hidden="1"/>
    </xf>
    <xf numFmtId="170" fontId="65" fillId="36" borderId="165" xfId="7" applyNumberFormat="1" applyFont="1" applyFill="1" applyBorder="1" applyAlignment="1" applyProtection="1">
      <alignment horizontal="center" vertical="center" wrapText="1"/>
      <protection hidden="1"/>
    </xf>
    <xf numFmtId="0" fontId="0" fillId="64" borderId="14" xfId="0" applyFill="1" applyBorder="1" applyAlignment="1">
      <alignment horizontal="center" vertical="center"/>
    </xf>
    <xf numFmtId="0" fontId="0" fillId="64" borderId="31" xfId="0" applyFill="1" applyBorder="1" applyAlignment="1">
      <alignment horizontal="center" vertical="center"/>
    </xf>
    <xf numFmtId="170" fontId="62" fillId="64" borderId="4" xfId="2" applyNumberFormat="1" applyFont="1" applyFill="1" applyBorder="1" applyAlignment="1">
      <alignment horizontal="center" vertical="center"/>
    </xf>
    <xf numFmtId="0" fontId="18" fillId="64" borderId="9" xfId="0" applyFont="1" applyFill="1" applyBorder="1" applyAlignment="1">
      <alignment horizontal="left" vertical="center"/>
    </xf>
    <xf numFmtId="0" fontId="18" fillId="64" borderId="4" xfId="0" applyFont="1" applyFill="1" applyBorder="1" applyAlignment="1">
      <alignment horizontal="left" vertical="center"/>
    </xf>
    <xf numFmtId="2" fontId="183" fillId="21" borderId="4" xfId="0" applyNumberFormat="1" applyFont="1" applyFill="1" applyBorder="1" applyAlignment="1">
      <alignment horizontal="center" vertical="center"/>
    </xf>
    <xf numFmtId="0" fontId="0" fillId="21" borderId="4" xfId="0" applyFill="1" applyBorder="1" applyAlignment="1">
      <alignment horizontal="left" vertical="center"/>
    </xf>
    <xf numFmtId="2" fontId="62" fillId="20" borderId="4" xfId="0" applyNumberFormat="1" applyFont="1" applyFill="1" applyBorder="1" applyAlignment="1">
      <alignment horizontal="center" vertical="center"/>
    </xf>
    <xf numFmtId="0" fontId="0" fillId="20" borderId="4" xfId="0" applyFill="1" applyBorder="1" applyAlignment="1">
      <alignment horizontal="left" vertical="center"/>
    </xf>
    <xf numFmtId="2" fontId="62" fillId="65" borderId="159" xfId="0" applyNumberFormat="1" applyFont="1" applyFill="1" applyBorder="1" applyAlignment="1">
      <alignment horizontal="center" vertical="center"/>
    </xf>
    <xf numFmtId="0" fontId="0" fillId="65" borderId="4" xfId="0" applyFill="1" applyBorder="1" applyAlignment="1">
      <alignment horizontal="left" vertical="center"/>
    </xf>
    <xf numFmtId="9" fontId="28" fillId="5" borderId="12" xfId="2" applyFont="1" applyFill="1" applyBorder="1" applyAlignment="1" applyProtection="1">
      <alignment horizontal="center" vertical="center"/>
      <protection locked="0"/>
    </xf>
    <xf numFmtId="0" fontId="59" fillId="0" borderId="0" xfId="0" applyFont="1" applyAlignment="1">
      <alignment vertical="center"/>
    </xf>
    <xf numFmtId="0" fontId="0" fillId="64" borderId="35" xfId="0" applyFill="1" applyBorder="1" applyAlignment="1">
      <alignment horizontal="center" vertical="center"/>
    </xf>
    <xf numFmtId="2" fontId="62" fillId="64" borderId="21" xfId="0" applyNumberFormat="1" applyFont="1" applyFill="1" applyBorder="1" applyAlignment="1">
      <alignment horizontal="center" vertical="center"/>
    </xf>
    <xf numFmtId="2" fontId="62" fillId="64" borderId="4" xfId="0" applyNumberFormat="1" applyFont="1" applyFill="1" applyBorder="1" applyAlignment="1">
      <alignment horizontal="center" vertical="center"/>
    </xf>
    <xf numFmtId="2" fontId="183" fillId="21" borderId="21" xfId="0" applyNumberFormat="1" applyFont="1" applyFill="1" applyBorder="1" applyAlignment="1">
      <alignment horizontal="center" vertical="center" wrapText="1"/>
    </xf>
    <xf numFmtId="2" fontId="183" fillId="21" borderId="4" xfId="0" applyNumberFormat="1" applyFont="1" applyFill="1" applyBorder="1" applyAlignment="1">
      <alignment horizontal="center" vertical="center" wrapText="1"/>
    </xf>
    <xf numFmtId="2" fontId="62" fillId="20" borderId="21" xfId="0" applyNumberFormat="1" applyFont="1" applyFill="1" applyBorder="1" applyAlignment="1">
      <alignment horizontal="center" vertical="center"/>
    </xf>
    <xf numFmtId="2" fontId="62" fillId="65" borderId="158" xfId="0" applyNumberFormat="1" applyFont="1" applyFill="1" applyBorder="1" applyAlignment="1">
      <alignment horizontal="center" vertical="center"/>
    </xf>
    <xf numFmtId="0" fontId="110" fillId="14" borderId="9" xfId="34" applyFont="1" applyFill="1" applyBorder="1" applyAlignment="1" applyProtection="1">
      <alignment horizontal="center" vertical="center"/>
      <protection hidden="1"/>
    </xf>
    <xf numFmtId="10" fontId="110" fillId="14" borderId="157" xfId="34" applyNumberFormat="1" applyFont="1" applyFill="1" applyBorder="1" applyAlignment="1" applyProtection="1">
      <alignment horizontal="center" vertical="center"/>
      <protection hidden="1"/>
    </xf>
    <xf numFmtId="0" fontId="110" fillId="59" borderId="100" xfId="5" applyFont="1" applyFill="1" applyBorder="1" applyAlignment="1" applyProtection="1">
      <alignment vertical="center" wrapText="1"/>
      <protection hidden="1"/>
    </xf>
    <xf numFmtId="0" fontId="110" fillId="59" borderId="104" xfId="5" applyFont="1" applyFill="1" applyBorder="1" applyAlignment="1" applyProtection="1">
      <alignment vertical="center" wrapText="1"/>
      <protection hidden="1"/>
    </xf>
    <xf numFmtId="0" fontId="14" fillId="0" borderId="0" xfId="0" applyFont="1" applyAlignment="1" applyProtection="1">
      <alignment horizontal="left" vertical="center"/>
      <protection hidden="1"/>
    </xf>
    <xf numFmtId="14" fontId="27" fillId="0" borderId="33" xfId="0" applyNumberFormat="1" applyFont="1" applyBorder="1" applyAlignment="1" applyProtection="1">
      <alignment horizontal="left"/>
      <protection locked="0"/>
    </xf>
    <xf numFmtId="170" fontId="23" fillId="0" borderId="0" xfId="7" applyNumberFormat="1" applyFont="1" applyAlignment="1" applyProtection="1">
      <alignment vertical="center"/>
    </xf>
    <xf numFmtId="0" fontId="12" fillId="7" borderId="10" xfId="5" applyFont="1" applyFill="1" applyBorder="1" applyAlignment="1">
      <alignment horizontal="center" vertical="center" wrapText="1"/>
    </xf>
    <xf numFmtId="0" fontId="12" fillId="7" borderId="11" xfId="5" applyFont="1" applyFill="1" applyBorder="1" applyAlignment="1">
      <alignment horizontal="center" vertical="center" wrapText="1"/>
    </xf>
    <xf numFmtId="0" fontId="45" fillId="17" borderId="12" xfId="0" applyFont="1" applyFill="1" applyBorder="1" applyAlignment="1">
      <alignment horizontal="center" vertical="center" wrapText="1"/>
    </xf>
    <xf numFmtId="10" fontId="13" fillId="0" borderId="4" xfId="2" applyNumberFormat="1" applyFont="1" applyBorder="1" applyAlignment="1" applyProtection="1">
      <alignment horizontal="center" vertical="center"/>
      <protection hidden="1"/>
    </xf>
    <xf numFmtId="167" fontId="27" fillId="0" borderId="0" xfId="4" applyNumberFormat="1" applyFont="1" applyAlignment="1" applyProtection="1">
      <alignment horizontal="center" vertical="center" wrapText="1"/>
      <protection locked="0"/>
    </xf>
    <xf numFmtId="167" fontId="27" fillId="0" borderId="0" xfId="4" applyNumberFormat="1" applyFont="1" applyAlignment="1" applyProtection="1">
      <alignment vertical="center" wrapText="1"/>
      <protection locked="0"/>
    </xf>
    <xf numFmtId="9" fontId="27" fillId="0" borderId="0" xfId="2" applyFont="1" applyAlignment="1" applyProtection="1">
      <alignment vertical="center"/>
      <protection locked="0"/>
    </xf>
    <xf numFmtId="165" fontId="13" fillId="0" borderId="0" xfId="1" applyFont="1" applyAlignment="1" applyProtection="1">
      <alignment vertical="center"/>
      <protection locked="0"/>
    </xf>
    <xf numFmtId="0" fontId="13" fillId="0" borderId="0" xfId="5" applyFont="1" applyAlignment="1">
      <alignment vertical="center"/>
    </xf>
    <xf numFmtId="167" fontId="27" fillId="16" borderId="4" xfId="4" applyNumberFormat="1" applyFont="1" applyFill="1" applyBorder="1" applyAlignment="1" applyProtection="1">
      <alignment vertical="center"/>
    </xf>
    <xf numFmtId="167" fontId="27" fillId="13" borderId="0" xfId="4" applyNumberFormat="1" applyFont="1" applyFill="1" applyAlignment="1" applyProtection="1">
      <alignment horizontal="center" vertical="center"/>
    </xf>
    <xf numFmtId="167" fontId="28" fillId="32" borderId="4" xfId="4" applyNumberFormat="1" applyFont="1" applyFill="1" applyBorder="1" applyAlignment="1" applyProtection="1">
      <alignment horizontal="center" vertical="center"/>
    </xf>
    <xf numFmtId="167" fontId="27" fillId="16" borderId="4" xfId="4" applyNumberFormat="1" applyFont="1" applyFill="1" applyBorder="1" applyAlignment="1" applyProtection="1">
      <alignment horizontal="center" vertical="center"/>
    </xf>
    <xf numFmtId="9" fontId="27" fillId="16" borderId="4" xfId="2" applyFont="1" applyFill="1" applyBorder="1" applyAlignment="1" applyProtection="1">
      <alignment horizontal="center" vertical="center"/>
    </xf>
    <xf numFmtId="167" fontId="27" fillId="0" borderId="4" xfId="4" applyNumberFormat="1" applyFont="1" applyBorder="1" applyAlignment="1" applyProtection="1">
      <alignment horizontal="center" vertical="center"/>
    </xf>
    <xf numFmtId="0" fontId="47" fillId="30" borderId="4" xfId="0" applyFont="1" applyFill="1" applyBorder="1" applyAlignment="1">
      <alignment horizontal="center" vertical="center"/>
    </xf>
    <xf numFmtId="0" fontId="47" fillId="20" borderId="4" xfId="0" applyFont="1" applyFill="1" applyBorder="1" applyAlignment="1">
      <alignment horizontal="center" vertical="center"/>
    </xf>
    <xf numFmtId="0" fontId="52" fillId="21" borderId="4" xfId="0" applyFont="1" applyFill="1" applyBorder="1" applyAlignment="1">
      <alignment horizontal="center" vertical="center"/>
    </xf>
    <xf numFmtId="167" fontId="27" fillId="31" borderId="4" xfId="4" applyNumberFormat="1" applyFont="1" applyFill="1" applyBorder="1" applyAlignment="1" applyProtection="1">
      <alignment horizontal="center" vertical="center"/>
    </xf>
    <xf numFmtId="9" fontId="27" fillId="0" borderId="4" xfId="2" applyFont="1" applyBorder="1" applyAlignment="1" applyProtection="1">
      <alignment horizontal="center" vertical="center"/>
    </xf>
    <xf numFmtId="9" fontId="27" fillId="30" borderId="4" xfId="2" applyFont="1" applyFill="1" applyBorder="1" applyAlignment="1" applyProtection="1">
      <alignment horizontal="center" vertical="center"/>
    </xf>
    <xf numFmtId="9" fontId="14" fillId="30" borderId="4" xfId="0" applyNumberFormat="1" applyFont="1" applyFill="1" applyBorder="1" applyAlignment="1">
      <alignment horizontal="center" vertical="center"/>
    </xf>
    <xf numFmtId="9" fontId="14" fillId="20" borderId="4" xfId="0" applyNumberFormat="1" applyFont="1" applyFill="1" applyBorder="1" applyAlignment="1">
      <alignment horizontal="center" vertical="center"/>
    </xf>
    <xf numFmtId="9" fontId="27" fillId="20" borderId="4" xfId="2" applyFont="1" applyFill="1" applyBorder="1" applyAlignment="1" applyProtection="1">
      <alignment horizontal="center" vertical="center"/>
    </xf>
    <xf numFmtId="9" fontId="41" fillId="21" borderId="4" xfId="0" applyNumberFormat="1" applyFont="1" applyFill="1" applyBorder="1" applyAlignment="1">
      <alignment horizontal="center" vertical="center"/>
    </xf>
    <xf numFmtId="9" fontId="41" fillId="21" borderId="4" xfId="2" applyFont="1" applyFill="1" applyBorder="1" applyAlignment="1" applyProtection="1">
      <alignment horizontal="center" vertical="center"/>
    </xf>
    <xf numFmtId="167" fontId="27" fillId="5" borderId="4" xfId="4" applyNumberFormat="1" applyFont="1" applyFill="1" applyBorder="1" applyAlignment="1" applyProtection="1">
      <alignment horizontal="center" vertical="center"/>
    </xf>
    <xf numFmtId="10" fontId="27" fillId="30" borderId="4" xfId="2" applyNumberFormat="1" applyFont="1" applyFill="1" applyBorder="1" applyAlignment="1" applyProtection="1">
      <alignment horizontal="center" vertical="center"/>
    </xf>
    <xf numFmtId="10" fontId="14" fillId="20" borderId="4" xfId="0" applyNumberFormat="1" applyFont="1" applyFill="1" applyBorder="1" applyAlignment="1">
      <alignment horizontal="center" vertical="center"/>
    </xf>
    <xf numFmtId="10" fontId="41" fillId="21" borderId="4" xfId="0" applyNumberFormat="1" applyFont="1" applyFill="1" applyBorder="1" applyAlignment="1">
      <alignment horizontal="center" vertical="center"/>
    </xf>
    <xf numFmtId="0" fontId="9" fillId="0" borderId="0" xfId="5" applyFont="1" applyAlignment="1">
      <alignment vertical="center"/>
    </xf>
    <xf numFmtId="0" fontId="30" fillId="0" borderId="5" xfId="9" applyFont="1" applyBorder="1" applyAlignment="1">
      <alignment horizontal="center" vertical="center" wrapText="1"/>
    </xf>
    <xf numFmtId="0" fontId="30" fillId="0" borderId="3" xfId="9" applyFont="1" applyBorder="1" applyAlignment="1">
      <alignment horizontal="center" vertical="center" wrapText="1"/>
    </xf>
    <xf numFmtId="0" fontId="30" fillId="0" borderId="2" xfId="9" applyFont="1" applyBorder="1" applyAlignment="1">
      <alignment horizontal="center" vertical="center" wrapText="1"/>
    </xf>
    <xf numFmtId="0" fontId="33" fillId="0" borderId="3" xfId="9" applyFont="1" applyBorder="1" applyAlignment="1">
      <alignment horizontal="justify" vertical="center" wrapText="1"/>
    </xf>
    <xf numFmtId="9" fontId="54" fillId="0" borderId="3" xfId="9" applyNumberFormat="1" applyFont="1" applyBorder="1" applyAlignment="1">
      <alignment horizontal="center" vertical="center" wrapText="1"/>
    </xf>
    <xf numFmtId="171" fontId="10" fillId="0" borderId="0" xfId="7" applyNumberFormat="1" applyFont="1" applyAlignment="1" applyProtection="1">
      <alignment vertical="center"/>
    </xf>
    <xf numFmtId="170" fontId="10" fillId="0" borderId="0" xfId="7" applyNumberFormat="1" applyFont="1" applyAlignment="1" applyProtection="1">
      <alignment vertical="center"/>
    </xf>
    <xf numFmtId="0" fontId="33" fillId="0" borderId="26" xfId="9" applyFont="1" applyBorder="1" applyAlignment="1">
      <alignment horizontal="justify" vertical="center" wrapText="1"/>
    </xf>
    <xf numFmtId="9" fontId="54" fillId="0" borderId="26" xfId="9" applyNumberFormat="1" applyFont="1" applyBorder="1" applyAlignment="1">
      <alignment horizontal="center" vertical="center" wrapText="1"/>
    </xf>
    <xf numFmtId="167" fontId="27" fillId="0" borderId="0" xfId="4" applyNumberFormat="1" applyFont="1" applyBorder="1" applyAlignment="1" applyProtection="1">
      <alignment horizontal="center" vertical="center"/>
      <protection locked="0"/>
    </xf>
    <xf numFmtId="0" fontId="9" fillId="8" borderId="168" xfId="8" applyFont="1" applyFill="1" applyBorder="1" applyAlignment="1" applyProtection="1">
      <alignment horizontal="left" vertical="center" wrapText="1"/>
    </xf>
    <xf numFmtId="0" fontId="47" fillId="8" borderId="166" xfId="0" applyFont="1" applyFill="1" applyBorder="1" applyAlignment="1">
      <alignment horizontal="left" vertical="center" wrapText="1"/>
    </xf>
    <xf numFmtId="0" fontId="9" fillId="8" borderId="168" xfId="8" applyFont="1" applyFill="1" applyBorder="1" applyAlignment="1" applyProtection="1">
      <alignment vertical="center" wrapText="1"/>
    </xf>
    <xf numFmtId="0" fontId="9" fillId="6" borderId="166" xfId="8" applyFont="1" applyFill="1" applyBorder="1" applyAlignment="1" applyProtection="1">
      <alignment horizontal="justify" vertical="center" wrapText="1"/>
      <protection locked="0"/>
    </xf>
    <xf numFmtId="0" fontId="53" fillId="13" borderId="170" xfId="10" applyFont="1" applyFill="1" applyBorder="1" applyAlignment="1">
      <alignment vertical="center" wrapText="1"/>
    </xf>
    <xf numFmtId="9" fontId="14" fillId="13" borderId="0" xfId="2" applyFont="1" applyFill="1"/>
    <xf numFmtId="9" fontId="19" fillId="13" borderId="0" xfId="2" applyFont="1" applyFill="1" applyBorder="1" applyAlignment="1">
      <alignment wrapText="1"/>
    </xf>
    <xf numFmtId="9" fontId="14" fillId="0" borderId="0" xfId="2" applyFont="1" applyProtection="1">
      <protection hidden="1"/>
    </xf>
    <xf numFmtId="167" fontId="13" fillId="7" borderId="17" xfId="4" applyNumberFormat="1" applyFont="1" applyFill="1" applyBorder="1" applyAlignment="1" applyProtection="1">
      <alignment horizontal="center" vertical="center" wrapText="1"/>
      <protection locked="0"/>
    </xf>
    <xf numFmtId="10" fontId="13" fillId="6" borderId="17" xfId="7" applyNumberFormat="1" applyFont="1" applyFill="1" applyBorder="1" applyAlignment="1" applyProtection="1">
      <alignment horizontal="center" vertical="center" wrapText="1"/>
      <protection hidden="1"/>
    </xf>
    <xf numFmtId="0" fontId="28" fillId="7" borderId="140" xfId="4" applyNumberFormat="1" applyFont="1" applyFill="1" applyBorder="1" applyAlignment="1" applyProtection="1">
      <alignment horizontal="center" vertical="center" wrapText="1"/>
    </xf>
    <xf numFmtId="44" fontId="14" fillId="13" borderId="0" xfId="0" applyNumberFormat="1" applyFont="1" applyFill="1"/>
    <xf numFmtId="0" fontId="74" fillId="4" borderId="19" xfId="3" applyFont="1" applyFill="1" applyBorder="1" applyAlignment="1" applyProtection="1">
      <alignment horizontal="left" vertical="center" wrapText="1"/>
      <protection hidden="1"/>
    </xf>
    <xf numFmtId="49" fontId="28" fillId="6" borderId="19" xfId="5" applyNumberFormat="1" applyFont="1" applyFill="1" applyBorder="1" applyAlignment="1">
      <alignment vertical="center" wrapText="1"/>
    </xf>
    <xf numFmtId="49" fontId="28" fillId="6" borderId="49" xfId="5" applyNumberFormat="1" applyFont="1" applyFill="1" applyBorder="1" applyAlignment="1">
      <alignment horizontal="left" vertical="center" wrapText="1"/>
    </xf>
    <xf numFmtId="49" fontId="28" fillId="6" borderId="16" xfId="5" applyNumberFormat="1" applyFont="1" applyFill="1" applyBorder="1" applyAlignment="1">
      <alignment horizontal="left" vertical="center" wrapText="1"/>
    </xf>
    <xf numFmtId="49" fontId="28" fillId="6" borderId="21" xfId="5" applyNumberFormat="1" applyFont="1" applyFill="1" applyBorder="1" applyAlignment="1">
      <alignment horizontal="left" vertical="center" wrapText="1"/>
    </xf>
    <xf numFmtId="49" fontId="28" fillId="6" borderId="18" xfId="5" applyNumberFormat="1" applyFont="1" applyFill="1" applyBorder="1" applyAlignment="1">
      <alignment horizontal="left" vertical="center" wrapText="1"/>
    </xf>
    <xf numFmtId="164" fontId="25" fillId="0" borderId="63" xfId="14" applyFont="1" applyFill="1" applyBorder="1" applyAlignment="1" applyProtection="1">
      <alignment horizontal="center" vertical="center"/>
    </xf>
    <xf numFmtId="167" fontId="11" fillId="25" borderId="125" xfId="4" applyNumberFormat="1" applyFont="1" applyFill="1" applyBorder="1" applyAlignment="1" applyProtection="1">
      <alignment horizontal="center" vertical="center"/>
      <protection hidden="1"/>
    </xf>
    <xf numFmtId="167" fontId="11" fillId="25" borderId="129" xfId="4" applyNumberFormat="1" applyFont="1" applyFill="1" applyBorder="1" applyAlignment="1" applyProtection="1">
      <alignment horizontal="center" vertical="center"/>
      <protection hidden="1"/>
    </xf>
    <xf numFmtId="167" fontId="11" fillId="25" borderId="165" xfId="4" applyNumberFormat="1" applyFont="1" applyFill="1" applyBorder="1" applyAlignment="1" applyProtection="1">
      <alignment horizontal="center" vertical="center"/>
      <protection hidden="1"/>
    </xf>
    <xf numFmtId="167" fontId="184" fillId="12" borderId="19" xfId="4" applyNumberFormat="1" applyFont="1" applyFill="1" applyBorder="1" applyAlignment="1" applyProtection="1">
      <alignment horizontal="center" vertical="center"/>
      <protection hidden="1"/>
    </xf>
    <xf numFmtId="10" fontId="11" fillId="25" borderId="171" xfId="2" applyNumberFormat="1" applyFont="1" applyFill="1" applyBorder="1" applyAlignment="1" applyProtection="1">
      <alignment horizontal="center" vertical="center"/>
      <protection hidden="1"/>
    </xf>
    <xf numFmtId="10" fontId="11" fillId="25" borderId="86" xfId="2" applyNumberFormat="1" applyFont="1" applyFill="1" applyBorder="1" applyAlignment="1" applyProtection="1">
      <alignment horizontal="center" vertical="center"/>
      <protection hidden="1"/>
    </xf>
    <xf numFmtId="10" fontId="11" fillId="25" borderId="167" xfId="2" applyNumberFormat="1" applyFont="1" applyFill="1" applyBorder="1" applyAlignment="1" applyProtection="1">
      <alignment horizontal="center" vertical="center"/>
      <protection hidden="1"/>
    </xf>
    <xf numFmtId="170" fontId="17" fillId="5" borderId="5" xfId="2" applyNumberFormat="1" applyFont="1" applyFill="1" applyBorder="1" applyAlignment="1" applyProtection="1">
      <alignment horizontal="center" vertical="center"/>
      <protection hidden="1"/>
    </xf>
    <xf numFmtId="167" fontId="11" fillId="26" borderId="125" xfId="4" applyNumberFormat="1" applyFont="1" applyFill="1" applyBorder="1" applyAlignment="1" applyProtection="1">
      <alignment horizontal="center" vertical="center"/>
      <protection hidden="1"/>
    </xf>
    <xf numFmtId="0" fontId="11" fillId="25" borderId="165" xfId="5" applyFont="1" applyFill="1" applyBorder="1" applyAlignment="1" applyProtection="1">
      <alignment horizontal="center" vertical="center"/>
      <protection hidden="1"/>
    </xf>
    <xf numFmtId="167" fontId="17" fillId="10" borderId="19" xfId="4" applyNumberFormat="1" applyFont="1" applyFill="1" applyBorder="1" applyAlignment="1" applyProtection="1">
      <alignment horizontal="center" vertical="center" wrapText="1"/>
      <protection hidden="1"/>
    </xf>
    <xf numFmtId="0" fontId="74" fillId="4" borderId="125" xfId="3" applyFont="1" applyFill="1" applyBorder="1" applyAlignment="1" applyProtection="1">
      <alignment horizontal="left" vertical="center" wrapText="1"/>
      <protection hidden="1"/>
    </xf>
    <xf numFmtId="0" fontId="74" fillId="4" borderId="129" xfId="3" applyFont="1" applyFill="1" applyBorder="1" applyAlignment="1" applyProtection="1">
      <alignment horizontal="left" vertical="center" wrapText="1"/>
      <protection hidden="1"/>
    </xf>
    <xf numFmtId="0" fontId="74" fillId="4" borderId="131" xfId="3" applyFont="1" applyFill="1" applyBorder="1" applyAlignment="1" applyProtection="1">
      <alignment horizontal="left" vertical="center" wrapText="1"/>
      <protection hidden="1"/>
    </xf>
    <xf numFmtId="184" fontId="25" fillId="0" borderId="4" xfId="27" applyNumberFormat="1" applyFont="1" applyBorder="1" applyAlignment="1" applyProtection="1">
      <alignment horizontal="right" vertical="center" wrapText="1"/>
    </xf>
    <xf numFmtId="0" fontId="47" fillId="0" borderId="4" xfId="0" applyFont="1" applyBorder="1" applyAlignment="1">
      <alignment vertical="center" wrapText="1"/>
    </xf>
    <xf numFmtId="10" fontId="35" fillId="36" borderId="4" xfId="0" applyNumberFormat="1" applyFont="1" applyFill="1" applyBorder="1" applyAlignment="1" applyProtection="1">
      <alignment horizontal="center" vertical="center"/>
      <protection locked="0" hidden="1"/>
    </xf>
    <xf numFmtId="0" fontId="47" fillId="0" borderId="4" xfId="0" applyFont="1" applyBorder="1" applyAlignment="1" applyProtection="1">
      <alignment horizontal="left" vertical="center" wrapText="1"/>
      <protection hidden="1"/>
    </xf>
    <xf numFmtId="0" fontId="165" fillId="0" borderId="0" xfId="5" applyFont="1" applyAlignment="1" applyProtection="1">
      <alignment horizontal="center"/>
      <protection locked="0"/>
    </xf>
    <xf numFmtId="0" fontId="47" fillId="0" borderId="0" xfId="5" applyFont="1" applyAlignment="1" applyProtection="1">
      <alignment horizontal="center"/>
      <protection locked="0"/>
    </xf>
    <xf numFmtId="0" fontId="20" fillId="0" borderId="0" xfId="5" applyFont="1" applyAlignment="1" applyProtection="1">
      <alignment horizontal="center" vertical="center"/>
      <protection locked="0"/>
    </xf>
    <xf numFmtId="170" fontId="65" fillId="65" borderId="129" xfId="5" applyNumberFormat="1" applyFont="1" applyFill="1" applyBorder="1" applyAlignment="1" applyProtection="1">
      <alignment horizontal="center" vertical="center" wrapText="1"/>
      <protection hidden="1"/>
    </xf>
    <xf numFmtId="0" fontId="35" fillId="0" borderId="14" xfId="0" applyFont="1" applyBorder="1" applyAlignment="1" applyProtection="1">
      <alignment horizontal="center" vertical="center" wrapText="1"/>
      <protection hidden="1"/>
    </xf>
    <xf numFmtId="0" fontId="35" fillId="0" borderId="0" xfId="0" applyFont="1" applyAlignment="1" applyProtection="1">
      <alignment horizontal="center" vertical="center"/>
      <protection hidden="1"/>
    </xf>
    <xf numFmtId="0" fontId="35" fillId="0" borderId="4" xfId="0" applyFont="1" applyBorder="1" applyAlignment="1" applyProtection="1">
      <alignment horizontal="center" vertical="center"/>
      <protection hidden="1"/>
    </xf>
    <xf numFmtId="0" fontId="14" fillId="0" borderId="13" xfId="0" applyFont="1" applyBorder="1" applyAlignment="1" applyProtection="1">
      <alignment horizontal="left" vertical="center"/>
      <protection locked="0"/>
    </xf>
    <xf numFmtId="0" fontId="14" fillId="0" borderId="33" xfId="0" applyFont="1" applyBorder="1" applyAlignment="1" applyProtection="1">
      <alignment horizontal="left" vertical="center"/>
      <protection locked="0"/>
    </xf>
    <xf numFmtId="14" fontId="14" fillId="0" borderId="13" xfId="0" applyNumberFormat="1" applyFont="1" applyBorder="1" applyAlignment="1" applyProtection="1">
      <alignment horizontal="left" vertical="center"/>
      <protection locked="0"/>
    </xf>
    <xf numFmtId="179" fontId="0" fillId="9" borderId="4" xfId="0" applyNumberFormat="1" applyFill="1" applyBorder="1" applyAlignment="1" applyProtection="1">
      <alignment horizontal="left" vertical="center"/>
      <protection locked="0"/>
    </xf>
    <xf numFmtId="0" fontId="19" fillId="0" borderId="0" xfId="0" applyFont="1" applyAlignment="1" applyProtection="1">
      <alignment horizontal="center" vertical="center"/>
      <protection hidden="1"/>
    </xf>
    <xf numFmtId="0" fontId="14" fillId="0" borderId="0" xfId="0" applyFont="1" applyAlignment="1" applyProtection="1">
      <alignment horizontal="center" vertical="center"/>
      <protection hidden="1"/>
    </xf>
    <xf numFmtId="0" fontId="25" fillId="0" borderId="0" xfId="0" applyFont="1" applyAlignment="1" applyProtection="1">
      <alignment horizontal="left" vertical="center"/>
      <protection hidden="1"/>
    </xf>
    <xf numFmtId="0" fontId="25" fillId="0" borderId="0" xfId="0" applyFont="1" applyAlignment="1" applyProtection="1">
      <alignment horizontal="left" vertical="center" wrapText="1"/>
      <protection hidden="1"/>
    </xf>
    <xf numFmtId="0" fontId="14" fillId="13" borderId="22" xfId="0" applyFont="1" applyFill="1" applyBorder="1" applyAlignment="1" applyProtection="1">
      <alignment horizontal="left" vertical="top"/>
      <protection locked="0"/>
    </xf>
    <xf numFmtId="0" fontId="14" fillId="13" borderId="4" xfId="0" applyFont="1" applyFill="1" applyBorder="1" applyAlignment="1" applyProtection="1">
      <alignment horizontal="left" vertical="top"/>
      <protection locked="0"/>
    </xf>
    <xf numFmtId="0" fontId="14" fillId="0" borderId="0" xfId="0" applyFont="1" applyAlignment="1" applyProtection="1">
      <alignment horizontal="left" wrapText="1"/>
      <protection hidden="1"/>
    </xf>
    <xf numFmtId="0" fontId="14" fillId="0" borderId="13" xfId="0" applyFont="1" applyBorder="1" applyAlignment="1" applyProtection="1">
      <alignment horizontal="left"/>
      <protection hidden="1"/>
    </xf>
    <xf numFmtId="0" fontId="14" fillId="0" borderId="0" xfId="0" applyFont="1" applyBorder="1" applyAlignment="1">
      <alignment vertical="center"/>
    </xf>
    <xf numFmtId="167" fontId="61" fillId="32" borderId="4" xfId="24" applyNumberFormat="1" applyFont="1" applyFill="1" applyBorder="1" applyAlignment="1">
      <alignment horizontal="center" vertical="center"/>
    </xf>
    <xf numFmtId="0" fontId="47" fillId="0" borderId="4" xfId="0" applyFont="1" applyBorder="1" applyAlignment="1" applyProtection="1">
      <alignment horizontal="left" vertical="center" wrapText="1"/>
      <protection hidden="1"/>
    </xf>
    <xf numFmtId="0" fontId="110" fillId="59" borderId="100" xfId="5" applyFont="1" applyFill="1" applyBorder="1" applyAlignment="1" applyProtection="1">
      <alignment horizontal="center" vertical="center" wrapText="1"/>
      <protection hidden="1"/>
    </xf>
    <xf numFmtId="0" fontId="110" fillId="59" borderId="101" xfId="5" applyFont="1" applyFill="1" applyBorder="1" applyAlignment="1" applyProtection="1">
      <alignment horizontal="center" vertical="center" wrapText="1"/>
      <protection hidden="1"/>
    </xf>
    <xf numFmtId="0" fontId="110" fillId="59" borderId="6" xfId="5" applyFont="1" applyFill="1" applyBorder="1" applyAlignment="1" applyProtection="1">
      <alignment horizontal="center" vertical="center" wrapText="1"/>
      <protection hidden="1"/>
    </xf>
    <xf numFmtId="0" fontId="110" fillId="59" borderId="104" xfId="5" applyFont="1" applyFill="1" applyBorder="1" applyAlignment="1" applyProtection="1">
      <alignment horizontal="center" vertical="center" wrapText="1"/>
      <protection hidden="1"/>
    </xf>
    <xf numFmtId="0" fontId="110" fillId="59" borderId="2" xfId="5" applyFont="1" applyFill="1" applyBorder="1" applyAlignment="1" applyProtection="1">
      <alignment horizontal="center" vertical="center" wrapText="1"/>
      <protection hidden="1"/>
    </xf>
    <xf numFmtId="0" fontId="110" fillId="59" borderId="143" xfId="5" applyFont="1" applyFill="1" applyBorder="1" applyAlignment="1" applyProtection="1">
      <alignment horizontal="center" vertical="center" wrapText="1"/>
      <protection hidden="1"/>
    </xf>
    <xf numFmtId="0" fontId="110" fillId="33" borderId="101" xfId="5" applyFont="1" applyFill="1" applyBorder="1" applyAlignment="1" applyProtection="1">
      <alignment horizontal="center" vertical="center" wrapText="1"/>
      <protection hidden="1"/>
    </xf>
    <xf numFmtId="0" fontId="110" fillId="33" borderId="6" xfId="5" applyFont="1" applyFill="1" applyBorder="1" applyAlignment="1" applyProtection="1">
      <alignment horizontal="center" vertical="center" wrapText="1"/>
      <protection hidden="1"/>
    </xf>
    <xf numFmtId="0" fontId="110" fillId="33" borderId="2" xfId="5" applyFont="1" applyFill="1" applyBorder="1" applyAlignment="1" applyProtection="1">
      <alignment horizontal="center" vertical="center" wrapText="1"/>
      <protection hidden="1"/>
    </xf>
    <xf numFmtId="0" fontId="110" fillId="33" borderId="143" xfId="5" applyFont="1" applyFill="1" applyBorder="1" applyAlignment="1" applyProtection="1">
      <alignment horizontal="center" vertical="center" wrapText="1"/>
      <protection hidden="1"/>
    </xf>
    <xf numFmtId="0" fontId="110" fillId="33" borderId="128" xfId="5" applyFont="1" applyFill="1" applyBorder="1" applyAlignment="1" applyProtection="1">
      <alignment horizontal="center" vertical="center" wrapText="1"/>
      <protection hidden="1"/>
    </xf>
    <xf numFmtId="0" fontId="110" fillId="33" borderId="126" xfId="5" applyFont="1" applyFill="1" applyBorder="1" applyAlignment="1" applyProtection="1">
      <alignment horizontal="center" vertical="center" wrapText="1"/>
      <protection hidden="1"/>
    </xf>
    <xf numFmtId="10" fontId="117" fillId="36" borderId="28" xfId="7" applyNumberFormat="1" applyFont="1" applyFill="1" applyBorder="1" applyAlignment="1" applyProtection="1">
      <alignment horizontal="center"/>
      <protection hidden="1"/>
    </xf>
    <xf numFmtId="10" fontId="117" fillId="36" borderId="134" xfId="7" applyNumberFormat="1" applyFont="1" applyFill="1" applyBorder="1" applyAlignment="1" applyProtection="1">
      <alignment horizontal="center"/>
      <protection hidden="1"/>
    </xf>
    <xf numFmtId="10" fontId="117" fillId="36" borderId="15" xfId="7" applyNumberFormat="1" applyFont="1" applyFill="1" applyBorder="1" applyAlignment="1" applyProtection="1">
      <alignment horizontal="center"/>
      <protection hidden="1"/>
    </xf>
    <xf numFmtId="0" fontId="25" fillId="5" borderId="38" xfId="5" applyFont="1" applyFill="1" applyBorder="1" applyAlignment="1" applyProtection="1">
      <alignment horizontal="center" vertical="center" wrapText="1"/>
      <protection hidden="1"/>
    </xf>
    <xf numFmtId="0" fontId="25" fillId="5" borderId="39" xfId="5" applyFont="1" applyFill="1" applyBorder="1" applyAlignment="1" applyProtection="1">
      <alignment horizontal="center" vertical="center" wrapText="1"/>
      <protection hidden="1"/>
    </xf>
    <xf numFmtId="0" fontId="25" fillId="5" borderId="40" xfId="5" applyFont="1" applyFill="1" applyBorder="1" applyAlignment="1" applyProtection="1">
      <alignment horizontal="center" vertical="center" wrapText="1"/>
      <protection hidden="1"/>
    </xf>
    <xf numFmtId="0" fontId="25" fillId="5" borderId="49" xfId="5" applyFont="1" applyFill="1" applyBorder="1" applyAlignment="1" applyProtection="1">
      <alignment horizontal="center" vertical="center" wrapText="1"/>
      <protection hidden="1"/>
    </xf>
    <xf numFmtId="0" fontId="25" fillId="5" borderId="16" xfId="5" applyFont="1" applyFill="1" applyBorder="1" applyAlignment="1" applyProtection="1">
      <alignment horizontal="center" vertical="center" wrapText="1"/>
      <protection hidden="1"/>
    </xf>
    <xf numFmtId="0" fontId="25" fillId="5" borderId="29" xfId="5" applyFont="1" applyFill="1" applyBorder="1" applyAlignment="1" applyProtection="1">
      <alignment horizontal="center" vertical="center" wrapText="1"/>
      <protection hidden="1"/>
    </xf>
    <xf numFmtId="0" fontId="25" fillId="5" borderId="25" xfId="5" applyFont="1" applyFill="1" applyBorder="1" applyAlignment="1" applyProtection="1">
      <alignment horizontal="center" vertical="center" wrapText="1"/>
      <protection hidden="1"/>
    </xf>
    <xf numFmtId="170" fontId="65" fillId="65" borderId="129" xfId="5" applyNumberFormat="1" applyFont="1" applyFill="1" applyBorder="1" applyAlignment="1" applyProtection="1">
      <alignment horizontal="center" vertical="center" wrapText="1"/>
      <protection hidden="1"/>
    </xf>
    <xf numFmtId="0" fontId="117" fillId="5" borderId="144" xfId="5" applyFont="1" applyFill="1" applyBorder="1" applyAlignment="1" applyProtection="1">
      <alignment horizontal="left" vertical="center" wrapText="1"/>
      <protection hidden="1"/>
    </xf>
    <xf numFmtId="0" fontId="117" fillId="5" borderId="14" xfId="5" applyFont="1" applyFill="1" applyBorder="1" applyAlignment="1" applyProtection="1">
      <alignment horizontal="left" vertical="center" wrapText="1"/>
      <protection hidden="1"/>
    </xf>
    <xf numFmtId="9" fontId="27" fillId="15" borderId="144" xfId="7" applyFont="1" applyFill="1" applyBorder="1" applyAlignment="1" applyProtection="1">
      <alignment horizontal="center" vertical="center" wrapText="1"/>
      <protection hidden="1"/>
    </xf>
    <xf numFmtId="9" fontId="27" fillId="15" borderId="14" xfId="7" applyFont="1" applyFill="1" applyBorder="1" applyAlignment="1" applyProtection="1">
      <alignment horizontal="center" vertical="center" wrapText="1"/>
      <protection hidden="1"/>
    </xf>
    <xf numFmtId="0" fontId="110" fillId="5" borderId="49" xfId="5" applyFont="1" applyFill="1" applyBorder="1" applyAlignment="1" applyProtection="1">
      <alignment horizontal="center" vertical="center" wrapText="1"/>
      <protection hidden="1"/>
    </xf>
    <xf numFmtId="0" fontId="110" fillId="5" borderId="16" xfId="5" applyFont="1" applyFill="1" applyBorder="1" applyAlignment="1" applyProtection="1">
      <alignment horizontal="center" vertical="center" wrapText="1"/>
      <protection hidden="1"/>
    </xf>
    <xf numFmtId="0" fontId="110" fillId="5" borderId="25" xfId="5" applyFont="1" applyFill="1" applyBorder="1" applyAlignment="1" applyProtection="1">
      <alignment horizontal="center" vertical="center" wrapText="1"/>
      <protection hidden="1"/>
    </xf>
    <xf numFmtId="0" fontId="110" fillId="5" borderId="164" xfId="5" applyFont="1" applyFill="1" applyBorder="1" applyAlignment="1" applyProtection="1">
      <alignment horizontal="center" vertical="center" wrapText="1"/>
      <protection hidden="1"/>
    </xf>
    <xf numFmtId="0" fontId="110" fillId="5" borderId="129" xfId="5" applyFont="1" applyFill="1" applyBorder="1" applyAlignment="1" applyProtection="1">
      <alignment horizontal="center" vertical="center" wrapText="1"/>
      <protection hidden="1"/>
    </xf>
    <xf numFmtId="0" fontId="110" fillId="5" borderId="131" xfId="5" applyFont="1" applyFill="1" applyBorder="1" applyAlignment="1" applyProtection="1">
      <alignment horizontal="center" vertical="center" wrapText="1"/>
      <protection hidden="1"/>
    </xf>
    <xf numFmtId="9" fontId="110" fillId="15" borderId="6" xfId="5" applyNumberFormat="1" applyFont="1" applyFill="1" applyBorder="1" applyAlignment="1" applyProtection="1">
      <alignment horizontal="center" vertical="center" wrapText="1"/>
      <protection hidden="1"/>
    </xf>
    <xf numFmtId="9" fontId="110" fillId="15" borderId="46" xfId="5" applyNumberFormat="1" applyFont="1" applyFill="1" applyBorder="1" applyAlignment="1" applyProtection="1">
      <alignment horizontal="center" vertical="center" wrapText="1"/>
      <protection hidden="1"/>
    </xf>
    <xf numFmtId="9" fontId="110" fillId="15" borderId="2" xfId="5" applyNumberFormat="1" applyFont="1" applyFill="1" applyBorder="1" applyAlignment="1" applyProtection="1">
      <alignment horizontal="center" vertical="center" wrapText="1"/>
      <protection hidden="1"/>
    </xf>
    <xf numFmtId="0" fontId="110" fillId="14" borderId="27" xfId="5" applyFont="1" applyFill="1" applyBorder="1" applyAlignment="1" applyProtection="1">
      <alignment horizontal="center" vertical="center" wrapText="1"/>
      <protection hidden="1"/>
    </xf>
    <xf numFmtId="0" fontId="110" fillId="14" borderId="133" xfId="5" applyFont="1" applyFill="1" applyBorder="1" applyAlignment="1" applyProtection="1">
      <alignment horizontal="center" vertical="center" wrapText="1"/>
      <protection hidden="1"/>
    </xf>
    <xf numFmtId="0" fontId="110" fillId="14" borderId="48" xfId="5" applyFont="1" applyFill="1" applyBorder="1" applyAlignment="1" applyProtection="1">
      <alignment horizontal="center" vertical="center" wrapText="1"/>
      <protection hidden="1"/>
    </xf>
    <xf numFmtId="0" fontId="110" fillId="14" borderId="157" xfId="5" applyFont="1" applyFill="1" applyBorder="1" applyAlignment="1" applyProtection="1">
      <alignment horizontal="center" vertical="center" wrapText="1"/>
      <protection hidden="1"/>
    </xf>
    <xf numFmtId="0" fontId="110" fillId="14" borderId="155" xfId="5" applyFont="1" applyFill="1" applyBorder="1" applyAlignment="1" applyProtection="1">
      <alignment horizontal="center" vertical="center" wrapText="1"/>
      <protection hidden="1"/>
    </xf>
    <xf numFmtId="0" fontId="110" fillId="14" borderId="158" xfId="5" applyFont="1" applyFill="1" applyBorder="1" applyAlignment="1" applyProtection="1">
      <alignment horizontal="center" vertical="center" wrapText="1"/>
      <protection hidden="1"/>
    </xf>
    <xf numFmtId="0" fontId="134" fillId="14" borderId="19" xfId="5" applyFont="1" applyFill="1" applyBorder="1" applyAlignment="1" applyProtection="1">
      <alignment horizontal="center" vertical="center" wrapText="1"/>
      <protection hidden="1"/>
    </xf>
    <xf numFmtId="10" fontId="117" fillId="36" borderId="144" xfId="7" applyNumberFormat="1" applyFont="1" applyFill="1" applyBorder="1" applyAlignment="1" applyProtection="1">
      <alignment horizontal="center" vertical="center"/>
      <protection hidden="1"/>
    </xf>
    <xf numFmtId="10" fontId="117" fillId="36" borderId="14" xfId="7" applyNumberFormat="1" applyFont="1" applyFill="1" applyBorder="1" applyAlignment="1" applyProtection="1">
      <alignment horizontal="center" vertical="center"/>
      <protection hidden="1"/>
    </xf>
    <xf numFmtId="9" fontId="110" fillId="15" borderId="158" xfId="5" applyNumberFormat="1" applyFont="1" applyFill="1" applyBorder="1" applyAlignment="1" applyProtection="1">
      <alignment horizontal="center" vertical="center" wrapText="1"/>
      <protection hidden="1"/>
    </xf>
    <xf numFmtId="9" fontId="110" fillId="5" borderId="157" xfId="5" applyNumberFormat="1" applyFont="1" applyFill="1" applyBorder="1" applyAlignment="1" applyProtection="1">
      <alignment horizontal="center" vertical="center" wrapText="1"/>
      <protection hidden="1"/>
    </xf>
    <xf numFmtId="9" fontId="110" fillId="5" borderId="45" xfId="5" applyNumberFormat="1" applyFont="1" applyFill="1" applyBorder="1" applyAlignment="1" applyProtection="1">
      <alignment horizontal="center" vertical="center" wrapText="1"/>
      <protection hidden="1"/>
    </xf>
    <xf numFmtId="9" fontId="110" fillId="5" borderId="31" xfId="5" applyNumberFormat="1" applyFont="1" applyFill="1" applyBorder="1" applyAlignment="1" applyProtection="1">
      <alignment horizontal="center" vertical="center" wrapText="1"/>
      <protection hidden="1"/>
    </xf>
    <xf numFmtId="0" fontId="117" fillId="5" borderId="159" xfId="5" applyFont="1" applyFill="1" applyBorder="1" applyAlignment="1" applyProtection="1">
      <alignment horizontal="left" vertical="center" wrapText="1"/>
      <protection hidden="1"/>
    </xf>
    <xf numFmtId="0" fontId="117" fillId="5" borderId="24" xfId="5" applyFont="1" applyFill="1" applyBorder="1" applyAlignment="1" applyProtection="1">
      <alignment horizontal="left" vertical="center" wrapText="1"/>
      <protection hidden="1"/>
    </xf>
    <xf numFmtId="0" fontId="165" fillId="0" borderId="0" xfId="5" applyFont="1" applyAlignment="1" applyProtection="1">
      <alignment horizontal="center"/>
      <protection locked="0"/>
    </xf>
    <xf numFmtId="0" fontId="47" fillId="0" borderId="0" xfId="5" applyFont="1" applyAlignment="1" applyProtection="1">
      <alignment horizontal="center"/>
      <protection locked="0"/>
    </xf>
    <xf numFmtId="0" fontId="25" fillId="0" borderId="4" xfId="0" applyFont="1" applyBorder="1" applyAlignment="1">
      <alignment horizontal="center" vertical="center"/>
    </xf>
    <xf numFmtId="0" fontId="20" fillId="0" borderId="33" xfId="5" applyFont="1" applyBorder="1" applyAlignment="1" applyProtection="1">
      <alignment horizontal="center" vertical="center"/>
      <protection locked="0"/>
    </xf>
    <xf numFmtId="0" fontId="20" fillId="0" borderId="0" xfId="5" applyFont="1" applyAlignment="1" applyProtection="1">
      <alignment horizontal="center" vertical="center"/>
      <protection locked="0"/>
    </xf>
    <xf numFmtId="14" fontId="20" fillId="0" borderId="33" xfId="5" applyNumberFormat="1" applyFont="1" applyBorder="1" applyAlignment="1" applyProtection="1">
      <alignment horizontal="center" vertical="center"/>
      <protection locked="0"/>
    </xf>
    <xf numFmtId="9" fontId="27" fillId="15" borderId="159" xfId="7" applyFont="1" applyFill="1" applyBorder="1" applyAlignment="1" applyProtection="1">
      <alignment horizontal="center" vertical="center" wrapText="1"/>
      <protection hidden="1"/>
    </xf>
    <xf numFmtId="9" fontId="27" fillId="15" borderId="24" xfId="7" applyFont="1" applyFill="1" applyBorder="1" applyAlignment="1" applyProtection="1">
      <alignment horizontal="center" vertical="center" wrapText="1"/>
      <protection hidden="1"/>
    </xf>
    <xf numFmtId="0" fontId="110" fillId="5" borderId="145" xfId="5" applyFont="1" applyFill="1" applyBorder="1" applyAlignment="1" applyProtection="1">
      <alignment horizontal="center" vertical="center" wrapText="1"/>
      <protection hidden="1"/>
    </xf>
    <xf numFmtId="0" fontId="110" fillId="5" borderId="146" xfId="5" applyFont="1" applyFill="1" applyBorder="1" applyAlignment="1" applyProtection="1">
      <alignment horizontal="center" vertical="center" wrapText="1"/>
      <protection hidden="1"/>
    </xf>
    <xf numFmtId="0" fontId="110" fillId="5" borderId="45" xfId="5" applyFont="1" applyFill="1" applyBorder="1" applyAlignment="1" applyProtection="1">
      <alignment horizontal="center" vertical="center" wrapText="1"/>
      <protection hidden="1"/>
    </xf>
    <xf numFmtId="0" fontId="110" fillId="5" borderId="46" xfId="5" applyFont="1" applyFill="1" applyBorder="1" applyAlignment="1" applyProtection="1">
      <alignment horizontal="center" vertical="center" wrapText="1"/>
      <protection hidden="1"/>
    </xf>
    <xf numFmtId="9" fontId="110" fillId="15" borderId="159" xfId="7" applyFont="1" applyFill="1" applyBorder="1" applyAlignment="1" applyProtection="1">
      <alignment horizontal="center" vertical="center" wrapText="1"/>
      <protection hidden="1"/>
    </xf>
    <xf numFmtId="9" fontId="110" fillId="15" borderId="14" xfId="7" applyFont="1" applyFill="1" applyBorder="1" applyAlignment="1" applyProtection="1">
      <alignment horizontal="center" vertical="center" wrapText="1"/>
      <protection hidden="1"/>
    </xf>
    <xf numFmtId="10" fontId="110" fillId="15" borderId="159" xfId="7" applyNumberFormat="1" applyFont="1" applyFill="1" applyBorder="1" applyAlignment="1" applyProtection="1">
      <alignment horizontal="center" vertical="center"/>
      <protection hidden="1"/>
    </xf>
    <xf numFmtId="10" fontId="110" fillId="15" borderId="14" xfId="7" applyNumberFormat="1" applyFont="1" applyFill="1" applyBorder="1" applyAlignment="1" applyProtection="1">
      <alignment horizontal="center" vertical="center"/>
      <protection hidden="1"/>
    </xf>
    <xf numFmtId="10" fontId="110" fillId="15" borderId="28" xfId="7" applyNumberFormat="1" applyFont="1" applyFill="1" applyBorder="1" applyAlignment="1" applyProtection="1">
      <alignment horizontal="center" vertical="center"/>
      <protection hidden="1"/>
    </xf>
    <xf numFmtId="10" fontId="110" fillId="15" borderId="15" xfId="7" applyNumberFormat="1" applyFont="1" applyFill="1" applyBorder="1" applyAlignment="1" applyProtection="1">
      <alignment horizontal="center" vertical="center"/>
      <protection hidden="1"/>
    </xf>
    <xf numFmtId="170" fontId="27" fillId="15" borderId="8" xfId="7" applyNumberFormat="1" applyFont="1" applyFill="1" applyBorder="1" applyAlignment="1" applyProtection="1">
      <alignment horizontal="center" vertical="center" wrapText="1"/>
      <protection hidden="1"/>
    </xf>
    <xf numFmtId="170" fontId="27" fillId="15" borderId="15" xfId="7" applyNumberFormat="1" applyFont="1" applyFill="1" applyBorder="1" applyAlignment="1" applyProtection="1">
      <alignment horizontal="center" vertical="center" wrapText="1"/>
      <protection hidden="1"/>
    </xf>
    <xf numFmtId="170" fontId="27" fillId="15" borderId="28" xfId="7" applyNumberFormat="1" applyFont="1" applyFill="1" applyBorder="1" applyAlignment="1" applyProtection="1">
      <alignment horizontal="center" vertical="center" wrapText="1"/>
      <protection hidden="1"/>
    </xf>
    <xf numFmtId="0" fontId="25" fillId="5" borderId="10" xfId="5" applyFont="1" applyFill="1" applyBorder="1" applyAlignment="1" applyProtection="1">
      <alignment horizontal="center" vertical="center" wrapText="1"/>
      <protection hidden="1"/>
    </xf>
    <xf numFmtId="9" fontId="110" fillId="15" borderId="35" xfId="5" applyNumberFormat="1" applyFont="1" applyFill="1" applyBorder="1" applyAlignment="1" applyProtection="1">
      <alignment horizontal="center" vertical="center" wrapText="1"/>
      <protection hidden="1"/>
    </xf>
    <xf numFmtId="9" fontId="110" fillId="5" borderId="7" xfId="5" applyNumberFormat="1" applyFont="1" applyFill="1" applyBorder="1" applyAlignment="1" applyProtection="1">
      <alignment horizontal="center" vertical="center" wrapText="1"/>
      <protection hidden="1"/>
    </xf>
    <xf numFmtId="9" fontId="110" fillId="5" borderId="24" xfId="5" applyNumberFormat="1" applyFont="1" applyFill="1" applyBorder="1" applyAlignment="1" applyProtection="1">
      <alignment horizontal="center" vertical="center" wrapText="1"/>
      <protection hidden="1"/>
    </xf>
    <xf numFmtId="9" fontId="110" fillId="5" borderId="14" xfId="5" applyNumberFormat="1" applyFont="1" applyFill="1" applyBorder="1" applyAlignment="1" applyProtection="1">
      <alignment horizontal="center" vertical="center" wrapText="1"/>
      <protection hidden="1"/>
    </xf>
    <xf numFmtId="0" fontId="117" fillId="5" borderId="7" xfId="5" applyFont="1" applyFill="1" applyBorder="1" applyAlignment="1" applyProtection="1">
      <alignment horizontal="left" vertical="center" wrapText="1"/>
      <protection hidden="1"/>
    </xf>
    <xf numFmtId="9" fontId="27" fillId="15" borderId="7" xfId="7" applyFont="1" applyFill="1" applyBorder="1" applyAlignment="1" applyProtection="1">
      <alignment horizontal="center" vertical="center" wrapText="1"/>
      <protection hidden="1"/>
    </xf>
    <xf numFmtId="10" fontId="117" fillId="36" borderId="7" xfId="7" applyNumberFormat="1" applyFont="1" applyFill="1" applyBorder="1" applyAlignment="1" applyProtection="1">
      <alignment horizontal="center" vertical="center"/>
      <protection hidden="1"/>
    </xf>
    <xf numFmtId="10" fontId="117" fillId="36" borderId="8" xfId="7" applyNumberFormat="1" applyFont="1" applyFill="1" applyBorder="1" applyAlignment="1" applyProtection="1">
      <alignment horizontal="center"/>
      <protection hidden="1"/>
    </xf>
    <xf numFmtId="0" fontId="25" fillId="5" borderId="125" xfId="5" applyFont="1" applyFill="1" applyBorder="1" applyAlignment="1" applyProtection="1">
      <alignment horizontal="center" vertical="center" wrapText="1"/>
      <protection hidden="1"/>
    </xf>
    <xf numFmtId="0" fontId="25" fillId="5" borderId="129" xfId="5" applyFont="1" applyFill="1" applyBorder="1" applyAlignment="1" applyProtection="1">
      <alignment horizontal="center" vertical="center" wrapText="1"/>
      <protection hidden="1"/>
    </xf>
    <xf numFmtId="0" fontId="25" fillId="5" borderId="131" xfId="5" applyFont="1" applyFill="1" applyBorder="1" applyAlignment="1" applyProtection="1">
      <alignment horizontal="center" vertical="center" wrapText="1"/>
      <protection hidden="1"/>
    </xf>
    <xf numFmtId="0" fontId="110" fillId="5" borderId="31" xfId="5" applyFont="1" applyFill="1" applyBorder="1" applyAlignment="1" applyProtection="1">
      <alignment horizontal="center" vertical="center" wrapText="1"/>
      <protection hidden="1"/>
    </xf>
    <xf numFmtId="0" fontId="110" fillId="5" borderId="35" xfId="5" applyFont="1" applyFill="1" applyBorder="1" applyAlignment="1" applyProtection="1">
      <alignment horizontal="center" vertical="center" wrapText="1"/>
      <protection hidden="1"/>
    </xf>
    <xf numFmtId="9" fontId="110" fillId="15" borderId="144" xfId="7" applyFont="1" applyFill="1" applyBorder="1" applyAlignment="1" applyProtection="1">
      <alignment horizontal="center" vertical="center" wrapText="1"/>
      <protection hidden="1"/>
    </xf>
    <xf numFmtId="10" fontId="110" fillId="15" borderId="144" xfId="7" applyNumberFormat="1" applyFont="1" applyFill="1" applyBorder="1" applyAlignment="1" applyProtection="1">
      <alignment horizontal="center" vertical="center"/>
      <protection hidden="1"/>
    </xf>
    <xf numFmtId="0" fontId="110" fillId="14" borderId="8" xfId="34" applyFont="1" applyFill="1" applyBorder="1" applyAlignment="1" applyProtection="1">
      <alignment horizontal="center" vertical="center" wrapText="1"/>
      <protection hidden="1"/>
    </xf>
    <xf numFmtId="0" fontId="110" fillId="14" borderId="134" xfId="34" applyFont="1" applyFill="1" applyBorder="1" applyAlignment="1" applyProtection="1">
      <alignment horizontal="center" vertical="center" wrapText="1"/>
      <protection hidden="1"/>
    </xf>
    <xf numFmtId="0" fontId="110" fillId="14" borderId="130" xfId="34" applyFont="1" applyFill="1" applyBorder="1" applyAlignment="1" applyProtection="1">
      <alignment horizontal="center" vertical="center" wrapText="1"/>
      <protection hidden="1"/>
    </xf>
    <xf numFmtId="170" fontId="28" fillId="15" borderId="163" xfId="7" applyNumberFormat="1" applyFont="1" applyFill="1" applyBorder="1" applyAlignment="1" applyProtection="1">
      <alignment horizontal="center" vertical="center" wrapText="1"/>
      <protection hidden="1"/>
    </xf>
    <xf numFmtId="170" fontId="28" fillId="15" borderId="3" xfId="7" applyNumberFormat="1" applyFont="1" applyFill="1" applyBorder="1" applyAlignment="1" applyProtection="1">
      <alignment horizontal="center" vertical="center" wrapText="1"/>
      <protection hidden="1"/>
    </xf>
    <xf numFmtId="0" fontId="0" fillId="0" borderId="10" xfId="0" applyBorder="1" applyAlignment="1" applyProtection="1">
      <alignment horizontal="center"/>
      <protection hidden="1"/>
    </xf>
    <xf numFmtId="0" fontId="0" fillId="0" borderId="25" xfId="0" applyBorder="1" applyAlignment="1" applyProtection="1">
      <alignment horizontal="center"/>
      <protection hidden="1"/>
    </xf>
    <xf numFmtId="0" fontId="0" fillId="0" borderId="16" xfId="0" applyBorder="1" applyAlignment="1" applyProtection="1">
      <alignment horizontal="center"/>
      <protection hidden="1"/>
    </xf>
    <xf numFmtId="0" fontId="138" fillId="0" borderId="0" xfId="5" applyFont="1" applyAlignment="1" applyProtection="1">
      <alignment horizontal="center" vertical="center" wrapText="1"/>
      <protection locked="0"/>
    </xf>
    <xf numFmtId="0" fontId="14" fillId="0" borderId="33" xfId="0" applyFont="1" applyBorder="1" applyAlignment="1">
      <alignment horizontal="left" vertical="center"/>
    </xf>
    <xf numFmtId="41" fontId="14" fillId="0" borderId="13" xfId="0" applyNumberFormat="1" applyFont="1" applyBorder="1" applyAlignment="1">
      <alignment horizontal="left" vertical="center"/>
    </xf>
    <xf numFmtId="0" fontId="14" fillId="0" borderId="13" xfId="0" applyFont="1" applyBorder="1" applyAlignment="1">
      <alignment horizontal="left" vertical="center"/>
    </xf>
    <xf numFmtId="14" fontId="14" fillId="0" borderId="13" xfId="0" applyNumberFormat="1" applyFont="1" applyBorder="1" applyAlignment="1">
      <alignment horizontal="left" vertical="center"/>
    </xf>
    <xf numFmtId="0" fontId="110" fillId="14" borderId="51" xfId="34" applyFont="1" applyFill="1" applyBorder="1" applyAlignment="1" applyProtection="1">
      <alignment horizontal="center" vertical="center" wrapText="1"/>
      <protection hidden="1"/>
    </xf>
    <xf numFmtId="0" fontId="110" fillId="14" borderId="38" xfId="34" applyFont="1" applyFill="1" applyBorder="1" applyAlignment="1" applyProtection="1">
      <alignment horizontal="center" vertical="center" wrapText="1"/>
      <protection hidden="1"/>
    </xf>
    <xf numFmtId="0" fontId="110" fillId="14" borderId="39" xfId="34" applyFont="1" applyFill="1" applyBorder="1" applyAlignment="1" applyProtection="1">
      <alignment horizontal="center" vertical="center" wrapText="1"/>
      <protection hidden="1"/>
    </xf>
    <xf numFmtId="0" fontId="110" fillId="14" borderId="40" xfId="34" applyFont="1" applyFill="1" applyBorder="1" applyAlignment="1" applyProtection="1">
      <alignment horizontal="center" vertical="center" wrapText="1"/>
      <protection hidden="1"/>
    </xf>
    <xf numFmtId="0" fontId="110" fillId="14" borderId="46" xfId="34" applyFont="1" applyFill="1" applyBorder="1" applyAlignment="1" applyProtection="1">
      <alignment horizontal="center" vertical="center" wrapText="1"/>
      <protection hidden="1"/>
    </xf>
    <xf numFmtId="0" fontId="110" fillId="14" borderId="45" xfId="34" applyFont="1" applyFill="1" applyBorder="1" applyAlignment="1" applyProtection="1">
      <alignment horizontal="center" vertical="center" wrapText="1"/>
      <protection hidden="1"/>
    </xf>
    <xf numFmtId="0" fontId="110" fillId="14" borderId="126" xfId="34" applyFont="1" applyFill="1" applyBorder="1" applyAlignment="1" applyProtection="1">
      <alignment horizontal="center" vertical="center" wrapText="1"/>
      <protection hidden="1"/>
    </xf>
    <xf numFmtId="0" fontId="110" fillId="14" borderId="143" xfId="34" applyFont="1" applyFill="1" applyBorder="1" applyAlignment="1" applyProtection="1">
      <alignment horizontal="center" vertical="center" wrapText="1"/>
      <protection hidden="1"/>
    </xf>
    <xf numFmtId="0" fontId="110" fillId="14" borderId="24" xfId="34" applyFont="1" applyFill="1" applyBorder="1" applyAlignment="1" applyProtection="1">
      <alignment horizontal="center" vertical="center" wrapText="1"/>
      <protection hidden="1"/>
    </xf>
    <xf numFmtId="0" fontId="28" fillId="14" borderId="11" xfId="34" applyFont="1" applyFill="1" applyBorder="1" applyAlignment="1" applyProtection="1">
      <alignment horizontal="center" vertical="center"/>
      <protection hidden="1"/>
    </xf>
    <xf numFmtId="0" fontId="28" fillId="14" borderId="27" xfId="34" applyFont="1" applyFill="1" applyBorder="1" applyAlignment="1" applyProtection="1">
      <alignment horizontal="center" vertical="center"/>
      <protection hidden="1"/>
    </xf>
    <xf numFmtId="0" fontId="117" fillId="5" borderId="145" xfId="5" applyFont="1" applyFill="1" applyBorder="1" applyAlignment="1" applyProtection="1">
      <alignment horizontal="center" vertical="center" wrapText="1"/>
      <protection hidden="1"/>
    </xf>
    <xf numFmtId="0" fontId="117" fillId="5" borderId="146" xfId="5" applyFont="1" applyFill="1" applyBorder="1" applyAlignment="1" applyProtection="1">
      <alignment horizontal="center" vertical="center" wrapText="1"/>
      <protection hidden="1"/>
    </xf>
    <xf numFmtId="0" fontId="117" fillId="5" borderId="31" xfId="5" applyFont="1" applyFill="1" applyBorder="1" applyAlignment="1" applyProtection="1">
      <alignment horizontal="center" vertical="center" wrapText="1"/>
      <protection hidden="1"/>
    </xf>
    <xf numFmtId="0" fontId="117" fillId="5" borderId="35" xfId="5" applyFont="1" applyFill="1" applyBorder="1" applyAlignment="1" applyProtection="1">
      <alignment horizontal="center" vertical="center" wrapText="1"/>
      <protection hidden="1"/>
    </xf>
    <xf numFmtId="0" fontId="117" fillId="5" borderId="128" xfId="5" applyFont="1" applyFill="1" applyBorder="1" applyAlignment="1" applyProtection="1">
      <alignment horizontal="center" vertical="center" wrapText="1"/>
      <protection hidden="1"/>
    </xf>
    <xf numFmtId="0" fontId="117" fillId="5" borderId="6" xfId="5" applyFont="1" applyFill="1" applyBorder="1" applyAlignment="1" applyProtection="1">
      <alignment horizontal="center" vertical="center" wrapText="1"/>
      <protection hidden="1"/>
    </xf>
    <xf numFmtId="0" fontId="138" fillId="0" borderId="45" xfId="0" applyFont="1" applyBorder="1" applyAlignment="1">
      <alignment horizontal="center" vertical="center"/>
    </xf>
    <xf numFmtId="0" fontId="138" fillId="0" borderId="0" xfId="0" applyFont="1" applyBorder="1" applyAlignment="1">
      <alignment horizontal="center" vertical="center"/>
    </xf>
    <xf numFmtId="0" fontId="138" fillId="0" borderId="31" xfId="0" applyFont="1" applyBorder="1" applyAlignment="1">
      <alignment horizontal="center" vertical="center"/>
    </xf>
    <xf numFmtId="0" fontId="138" fillId="0" borderId="33" xfId="0" applyFont="1" applyBorder="1" applyAlignment="1">
      <alignment horizontal="center" vertical="center"/>
    </xf>
    <xf numFmtId="167" fontId="173" fillId="10" borderId="97" xfId="24" applyNumberFormat="1" applyFont="1" applyFill="1" applyBorder="1" applyAlignment="1" applyProtection="1">
      <alignment horizontal="center" vertical="center"/>
      <protection hidden="1"/>
    </xf>
    <xf numFmtId="167" fontId="173" fillId="10" borderId="98" xfId="24" applyNumberFormat="1" applyFont="1" applyFill="1" applyBorder="1" applyAlignment="1" applyProtection="1">
      <alignment horizontal="center" vertical="center"/>
      <protection hidden="1"/>
    </xf>
    <xf numFmtId="167" fontId="173" fillId="10" borderId="5" xfId="24" applyNumberFormat="1" applyFont="1" applyFill="1" applyBorder="1" applyAlignment="1" applyProtection="1">
      <alignment horizontal="center" vertical="center"/>
      <protection hidden="1"/>
    </xf>
    <xf numFmtId="0" fontId="18" fillId="64" borderId="4" xfId="0" applyFont="1" applyFill="1" applyBorder="1" applyAlignment="1">
      <alignment horizontal="left" vertical="center"/>
    </xf>
    <xf numFmtId="0" fontId="0" fillId="21" borderId="4" xfId="0" applyFill="1" applyBorder="1" applyAlignment="1">
      <alignment horizontal="left" vertical="center"/>
    </xf>
    <xf numFmtId="0" fontId="0" fillId="20" borderId="4" xfId="0" applyFill="1" applyBorder="1" applyAlignment="1">
      <alignment horizontal="left" vertical="center"/>
    </xf>
    <xf numFmtId="0" fontId="0" fillId="65" borderId="4" xfId="0" applyFill="1" applyBorder="1" applyAlignment="1">
      <alignment horizontal="left" vertical="center"/>
    </xf>
    <xf numFmtId="0" fontId="110" fillId="5" borderId="141" xfId="5" applyFont="1" applyFill="1" applyBorder="1" applyAlignment="1" applyProtection="1">
      <alignment horizontal="center" vertical="center" wrapText="1"/>
      <protection hidden="1"/>
    </xf>
    <xf numFmtId="0" fontId="110" fillId="5" borderId="18" xfId="5" applyFont="1" applyFill="1" applyBorder="1" applyAlignment="1" applyProtection="1">
      <alignment horizontal="center" vertical="center" wrapText="1"/>
      <protection hidden="1"/>
    </xf>
    <xf numFmtId="0" fontId="110" fillId="5" borderId="155" xfId="5" applyFont="1" applyFill="1" applyBorder="1" applyAlignment="1" applyProtection="1">
      <alignment horizontal="center" vertical="center" wrapText="1"/>
      <protection hidden="1"/>
    </xf>
    <xf numFmtId="0" fontId="110" fillId="5" borderId="158" xfId="5" applyFont="1" applyFill="1" applyBorder="1" applyAlignment="1" applyProtection="1">
      <alignment horizontal="center" vertical="center" wrapText="1"/>
      <protection hidden="1"/>
    </xf>
    <xf numFmtId="0" fontId="110" fillId="5" borderId="2" xfId="5" applyFont="1" applyFill="1" applyBorder="1" applyAlignment="1" applyProtection="1">
      <alignment horizontal="center" vertical="center" wrapText="1"/>
      <protection hidden="1"/>
    </xf>
    <xf numFmtId="0" fontId="110" fillId="5" borderId="143" xfId="5" applyFont="1" applyFill="1" applyBorder="1" applyAlignment="1" applyProtection="1">
      <alignment horizontal="center" vertical="center" wrapText="1"/>
      <protection hidden="1"/>
    </xf>
    <xf numFmtId="9" fontId="28" fillId="15" borderId="158" xfId="7" applyFont="1" applyFill="1" applyBorder="1" applyAlignment="1" applyProtection="1">
      <alignment horizontal="center" vertical="center" wrapText="1"/>
      <protection hidden="1"/>
    </xf>
    <xf numFmtId="9" fontId="28" fillId="15" borderId="143" xfId="7" applyFont="1" applyFill="1" applyBorder="1" applyAlignment="1" applyProtection="1">
      <alignment horizontal="center" vertical="center" wrapText="1"/>
      <protection hidden="1"/>
    </xf>
    <xf numFmtId="10" fontId="28" fillId="15" borderId="159" xfId="7" applyNumberFormat="1" applyFont="1" applyFill="1" applyBorder="1" applyAlignment="1" applyProtection="1">
      <alignment horizontal="center" vertical="center" wrapText="1"/>
      <protection hidden="1"/>
    </xf>
    <xf numFmtId="10" fontId="28" fillId="15" borderId="47" xfId="7" applyNumberFormat="1" applyFont="1" applyFill="1" applyBorder="1" applyAlignment="1" applyProtection="1">
      <alignment horizontal="center" vertical="center" wrapText="1"/>
      <protection hidden="1"/>
    </xf>
    <xf numFmtId="10" fontId="28" fillId="15" borderId="168" xfId="7" applyNumberFormat="1" applyFont="1" applyFill="1" applyBorder="1" applyAlignment="1" applyProtection="1">
      <alignment horizontal="center" vertical="center" wrapText="1"/>
      <protection hidden="1"/>
    </xf>
    <xf numFmtId="10" fontId="28" fillId="15" borderId="26" xfId="7" applyNumberFormat="1" applyFont="1" applyFill="1" applyBorder="1" applyAlignment="1" applyProtection="1">
      <alignment horizontal="center" vertical="center" wrapText="1"/>
      <protection hidden="1"/>
    </xf>
    <xf numFmtId="170" fontId="28" fillId="15" borderId="28" xfId="7" applyNumberFormat="1" applyFont="1" applyFill="1" applyBorder="1" applyAlignment="1" applyProtection="1">
      <alignment horizontal="center" vertical="center" wrapText="1"/>
      <protection hidden="1"/>
    </xf>
    <xf numFmtId="170" fontId="28" fillId="15" borderId="15" xfId="7" applyNumberFormat="1" applyFont="1" applyFill="1" applyBorder="1" applyAlignment="1" applyProtection="1">
      <alignment horizontal="center" vertical="center" wrapText="1"/>
      <protection hidden="1"/>
    </xf>
    <xf numFmtId="170" fontId="117" fillId="15" borderId="28" xfId="7" applyNumberFormat="1" applyFont="1" applyFill="1" applyBorder="1" applyAlignment="1" applyProtection="1">
      <alignment horizontal="center" vertical="center" wrapText="1"/>
      <protection hidden="1"/>
    </xf>
    <xf numFmtId="170" fontId="117" fillId="15" borderId="15" xfId="7" applyNumberFormat="1" applyFont="1" applyFill="1" applyBorder="1" applyAlignment="1" applyProtection="1">
      <alignment horizontal="center" vertical="center" wrapText="1"/>
      <protection hidden="1"/>
    </xf>
    <xf numFmtId="170" fontId="43" fillId="20" borderId="38" xfId="7" applyNumberFormat="1" applyFont="1" applyFill="1" applyBorder="1" applyAlignment="1" applyProtection="1">
      <alignment horizontal="center" vertical="center"/>
      <protection hidden="1"/>
    </xf>
    <xf numFmtId="170" fontId="43" fillId="20" borderId="40" xfId="7" applyNumberFormat="1" applyFont="1" applyFill="1" applyBorder="1" applyAlignment="1" applyProtection="1">
      <alignment horizontal="center" vertical="center"/>
      <protection hidden="1"/>
    </xf>
    <xf numFmtId="170" fontId="117" fillId="15" borderId="165" xfId="7" applyNumberFormat="1" applyFont="1" applyFill="1" applyBorder="1" applyAlignment="1" applyProtection="1">
      <alignment horizontal="center" vertical="center" wrapText="1"/>
      <protection hidden="1"/>
    </xf>
    <xf numFmtId="170" fontId="117" fillId="15" borderId="39" xfId="7" applyNumberFormat="1" applyFont="1" applyFill="1" applyBorder="1" applyAlignment="1" applyProtection="1">
      <alignment horizontal="center" vertical="center" wrapText="1"/>
      <protection hidden="1"/>
    </xf>
    <xf numFmtId="170" fontId="117" fillId="15" borderId="164" xfId="7" applyNumberFormat="1" applyFont="1" applyFill="1" applyBorder="1" applyAlignment="1" applyProtection="1">
      <alignment horizontal="center" vertical="center" wrapText="1"/>
      <protection hidden="1"/>
    </xf>
    <xf numFmtId="0" fontId="14" fillId="0" borderId="168" xfId="0" applyFont="1" applyBorder="1" applyAlignment="1">
      <alignment horizontal="center"/>
    </xf>
    <xf numFmtId="0" fontId="14" fillId="0" borderId="14" xfId="0" applyFont="1" applyBorder="1" applyAlignment="1">
      <alignment horizontal="center"/>
    </xf>
    <xf numFmtId="0" fontId="11" fillId="0" borderId="0" xfId="0" applyFont="1" applyAlignment="1" applyProtection="1">
      <alignment horizontal="center"/>
      <protection hidden="1"/>
    </xf>
    <xf numFmtId="0" fontId="22" fillId="0" borderId="0" xfId="0" applyFont="1" applyAlignment="1" applyProtection="1">
      <alignment horizontal="left" vertical="center"/>
      <protection hidden="1"/>
    </xf>
    <xf numFmtId="0" fontId="14" fillId="0" borderId="33" xfId="0" applyFont="1" applyBorder="1" applyAlignment="1" applyProtection="1">
      <alignment horizontal="left" vertical="center"/>
      <protection hidden="1"/>
    </xf>
    <xf numFmtId="0" fontId="11" fillId="0" borderId="166" xfId="0" applyFont="1" applyBorder="1" applyAlignment="1" applyProtection="1">
      <alignment horizontal="center" vertical="center" wrapText="1"/>
      <protection hidden="1"/>
    </xf>
    <xf numFmtId="0" fontId="11" fillId="0" borderId="170" xfId="0" applyFont="1" applyBorder="1" applyAlignment="1" applyProtection="1">
      <alignment horizontal="center" vertical="center" wrapText="1"/>
      <protection hidden="1"/>
    </xf>
    <xf numFmtId="0" fontId="11" fillId="0" borderId="169" xfId="0" applyFont="1" applyBorder="1" applyAlignment="1" applyProtection="1">
      <alignment horizontal="center" vertical="center" wrapText="1"/>
      <protection hidden="1"/>
    </xf>
    <xf numFmtId="0" fontId="11" fillId="0" borderId="31" xfId="0" applyFont="1" applyBorder="1" applyAlignment="1" applyProtection="1">
      <alignment horizontal="center" vertical="center" wrapText="1"/>
      <protection hidden="1"/>
    </xf>
    <xf numFmtId="0" fontId="11" fillId="0" borderId="33" xfId="0" applyFont="1" applyBorder="1" applyAlignment="1" applyProtection="1">
      <alignment horizontal="center" vertical="center" wrapText="1"/>
      <protection hidden="1"/>
    </xf>
    <xf numFmtId="0" fontId="11" fillId="0" borderId="35" xfId="0" applyFont="1" applyBorder="1" applyAlignment="1" applyProtection="1">
      <alignment horizontal="center" vertical="center" wrapText="1"/>
      <protection hidden="1"/>
    </xf>
    <xf numFmtId="0" fontId="19" fillId="20" borderId="4" xfId="0" applyFont="1" applyFill="1" applyBorder="1" applyAlignment="1" applyProtection="1">
      <alignment horizontal="center"/>
      <protection hidden="1"/>
    </xf>
    <xf numFmtId="0" fontId="14" fillId="0" borderId="33" xfId="0" applyFont="1" applyBorder="1" applyAlignment="1" applyProtection="1">
      <alignment horizontal="center"/>
      <protection hidden="1"/>
    </xf>
    <xf numFmtId="177" fontId="11" fillId="0" borderId="0" xfId="17" applyNumberFormat="1" applyFont="1" applyAlignment="1" applyProtection="1">
      <alignment horizontal="center"/>
      <protection hidden="1"/>
    </xf>
    <xf numFmtId="177" fontId="14" fillId="0" borderId="33" xfId="17" applyNumberFormat="1" applyFont="1" applyBorder="1" applyAlignment="1" applyProtection="1">
      <alignment vertical="center"/>
      <protection hidden="1"/>
    </xf>
    <xf numFmtId="0" fontId="19" fillId="20" borderId="31" xfId="0" applyFont="1" applyFill="1" applyBorder="1" applyAlignment="1" applyProtection="1">
      <alignment horizontal="center"/>
      <protection hidden="1"/>
    </xf>
    <xf numFmtId="0" fontId="19" fillId="20" borderId="33" xfId="0" applyFont="1" applyFill="1" applyBorder="1" applyAlignment="1" applyProtection="1">
      <alignment horizontal="center"/>
      <protection hidden="1"/>
    </xf>
    <xf numFmtId="0" fontId="14" fillId="0" borderId="0" xfId="0" applyFont="1" applyAlignment="1">
      <alignment horizontal="center" vertical="center"/>
    </xf>
    <xf numFmtId="0" fontId="2" fillId="13" borderId="4" xfId="0" applyFont="1" applyFill="1" applyBorder="1" applyAlignment="1" applyProtection="1">
      <alignment horizontal="justify" vertical="center" wrapText="1"/>
      <protection hidden="1"/>
    </xf>
    <xf numFmtId="0" fontId="10" fillId="0" borderId="4" xfId="0" applyFont="1" applyBorder="1" applyAlignment="1" applyProtection="1">
      <alignment horizontal="center" vertical="center"/>
      <protection hidden="1"/>
    </xf>
    <xf numFmtId="0" fontId="19" fillId="0" borderId="4" xfId="0" applyFont="1" applyBorder="1" applyAlignment="1" applyProtection="1">
      <alignment horizontal="center" vertical="center"/>
      <protection hidden="1"/>
    </xf>
    <xf numFmtId="0" fontId="35" fillId="0" borderId="45" xfId="0" applyFont="1" applyBorder="1" applyAlignment="1" applyProtection="1">
      <alignment horizontal="center" vertical="center"/>
      <protection hidden="1"/>
    </xf>
    <xf numFmtId="0" fontId="35" fillId="0" borderId="0" xfId="0" applyFont="1" applyAlignment="1" applyProtection="1">
      <alignment horizontal="center" vertical="center"/>
      <protection hidden="1"/>
    </xf>
    <xf numFmtId="0" fontId="35" fillId="0" borderId="46" xfId="0" applyFont="1" applyBorder="1" applyAlignment="1" applyProtection="1">
      <alignment horizontal="center" vertical="center"/>
      <protection hidden="1"/>
    </xf>
    <xf numFmtId="0" fontId="35" fillId="29" borderId="4" xfId="0" applyFont="1" applyFill="1" applyBorder="1" applyAlignment="1">
      <alignment horizontal="center" vertical="center" wrapText="1"/>
    </xf>
    <xf numFmtId="0" fontId="35" fillId="29" borderId="4" xfId="0" applyFont="1" applyFill="1" applyBorder="1" applyAlignment="1" applyProtection="1">
      <alignment horizontal="center" vertical="center"/>
      <protection hidden="1"/>
    </xf>
    <xf numFmtId="0" fontId="35" fillId="0" borderId="4" xfId="0" applyFont="1" applyBorder="1" applyAlignment="1" applyProtection="1">
      <alignment horizontal="center" vertical="center"/>
      <protection hidden="1"/>
    </xf>
    <xf numFmtId="9" fontId="35" fillId="0" borderId="4" xfId="0" applyNumberFormat="1" applyFont="1" applyBorder="1" applyAlignment="1" applyProtection="1">
      <alignment horizontal="center" vertical="center"/>
      <protection hidden="1"/>
    </xf>
    <xf numFmtId="0" fontId="9" fillId="0" borderId="4" xfId="0" applyFont="1" applyBorder="1" applyAlignment="1" applyProtection="1">
      <alignment horizontal="justify" vertical="center" wrapText="1"/>
      <protection hidden="1"/>
    </xf>
    <xf numFmtId="0" fontId="19" fillId="13" borderId="4" xfId="0" applyFont="1" applyFill="1" applyBorder="1" applyAlignment="1" applyProtection="1">
      <alignment horizontal="justify" vertical="center"/>
      <protection hidden="1"/>
    </xf>
    <xf numFmtId="0" fontId="35" fillId="0" borderId="14" xfId="0" applyFont="1" applyBorder="1" applyAlignment="1" applyProtection="1">
      <alignment horizontal="center" vertical="center" wrapText="1"/>
      <protection hidden="1"/>
    </xf>
    <xf numFmtId="0" fontId="28" fillId="20" borderId="9" xfId="0" applyFont="1" applyFill="1" applyBorder="1" applyAlignment="1" applyProtection="1">
      <alignment horizontal="left" vertical="top" wrapText="1"/>
      <protection hidden="1"/>
    </xf>
    <xf numFmtId="0" fontId="28" fillId="20" borderId="13" xfId="0" applyFont="1" applyFill="1" applyBorder="1" applyAlignment="1" applyProtection="1">
      <alignment horizontal="left" vertical="top" wrapText="1"/>
      <protection hidden="1"/>
    </xf>
    <xf numFmtId="0" fontId="28" fillId="20" borderId="21" xfId="0" applyFont="1" applyFill="1" applyBorder="1" applyAlignment="1" applyProtection="1">
      <alignment horizontal="left" vertical="top" wrapText="1"/>
      <protection hidden="1"/>
    </xf>
    <xf numFmtId="0" fontId="14" fillId="0" borderId="4" xfId="0" applyFont="1" applyBorder="1" applyAlignment="1" applyProtection="1">
      <alignment horizontal="center"/>
      <protection hidden="1"/>
    </xf>
    <xf numFmtId="0" fontId="10" fillId="0" borderId="14" xfId="0" applyFont="1" applyBorder="1" applyAlignment="1" applyProtection="1">
      <alignment horizontal="center" vertical="center"/>
      <protection hidden="1"/>
    </xf>
    <xf numFmtId="0" fontId="13" fillId="0" borderId="4" xfId="0" applyFont="1" applyBorder="1" applyAlignment="1" applyProtection="1">
      <alignment horizontal="center" vertical="center"/>
      <protection hidden="1"/>
    </xf>
    <xf numFmtId="0" fontId="2" fillId="0" borderId="4" xfId="0" applyFont="1" applyBorder="1" applyAlignment="1" applyProtection="1">
      <alignment horizontal="justify" vertical="center" wrapText="1"/>
      <protection hidden="1"/>
    </xf>
    <xf numFmtId="0" fontId="19" fillId="44" borderId="4" xfId="0" applyFont="1" applyFill="1" applyBorder="1" applyAlignment="1" applyProtection="1">
      <alignment horizontal="center" vertical="center"/>
      <protection hidden="1"/>
    </xf>
    <xf numFmtId="0" fontId="10" fillId="0" borderId="166" xfId="0" applyFont="1" applyBorder="1" applyAlignment="1" applyProtection="1">
      <alignment horizontal="center" vertical="center" wrapText="1"/>
      <protection hidden="1"/>
    </xf>
    <xf numFmtId="0" fontId="10" fillId="0" borderId="170" xfId="0" applyFont="1" applyBorder="1" applyAlignment="1" applyProtection="1">
      <alignment horizontal="center" vertical="center"/>
      <protection hidden="1"/>
    </xf>
    <xf numFmtId="0" fontId="10" fillId="0" borderId="169" xfId="0" applyFont="1" applyBorder="1" applyAlignment="1" applyProtection="1">
      <alignment horizontal="center" vertical="center"/>
      <protection hidden="1"/>
    </xf>
    <xf numFmtId="0" fontId="10" fillId="0" borderId="31" xfId="0" applyFont="1" applyBorder="1" applyAlignment="1" applyProtection="1">
      <alignment horizontal="center" vertical="center"/>
      <protection hidden="1"/>
    </xf>
    <xf numFmtId="0" fontId="10" fillId="0" borderId="33" xfId="0" applyFont="1" applyBorder="1" applyAlignment="1" applyProtection="1">
      <alignment horizontal="center" vertical="center"/>
      <protection hidden="1"/>
    </xf>
    <xf numFmtId="0" fontId="10" fillId="0" borderId="35" xfId="0" applyFont="1" applyBorder="1" applyAlignment="1" applyProtection="1">
      <alignment horizontal="center" vertical="center"/>
      <protection hidden="1"/>
    </xf>
    <xf numFmtId="0" fontId="73" fillId="0" borderId="4" xfId="0" applyFont="1" applyBorder="1" applyAlignment="1" applyProtection="1">
      <alignment horizontal="center" vertical="center" wrapText="1"/>
      <protection hidden="1"/>
    </xf>
    <xf numFmtId="0" fontId="20" fillId="0" borderId="4" xfId="0" applyFont="1" applyBorder="1" applyAlignment="1">
      <alignment horizontal="justify" vertical="center" wrapText="1"/>
    </xf>
    <xf numFmtId="0" fontId="134" fillId="57" borderId="122" xfId="21" applyFont="1" applyFill="1" applyBorder="1" applyAlignment="1">
      <alignment horizontal="center" vertical="center" wrapText="1"/>
    </xf>
    <xf numFmtId="0" fontId="134" fillId="57" borderId="123" xfId="21" applyFont="1" applyFill="1" applyBorder="1" applyAlignment="1">
      <alignment horizontal="center" vertical="center" wrapText="1"/>
    </xf>
    <xf numFmtId="0" fontId="134" fillId="57" borderId="124" xfId="21" applyFont="1" applyFill="1" applyBorder="1" applyAlignment="1">
      <alignment horizontal="center" vertical="center" wrapText="1"/>
    </xf>
    <xf numFmtId="0" fontId="10" fillId="0" borderId="97" xfId="0" applyFont="1" applyBorder="1" applyAlignment="1">
      <alignment horizontal="justify" vertical="center" wrapText="1"/>
    </xf>
    <xf numFmtId="0" fontId="13" fillId="0" borderId="98" xfId="0" applyFont="1" applyBorder="1" applyAlignment="1">
      <alignment horizontal="justify" vertical="center" wrapText="1"/>
    </xf>
    <xf numFmtId="0" fontId="13" fillId="0" borderId="5" xfId="0" applyFont="1" applyBorder="1" applyAlignment="1">
      <alignment horizontal="justify" vertical="center" wrapText="1"/>
    </xf>
    <xf numFmtId="0" fontId="60" fillId="0" borderId="0" xfId="0" applyFont="1" applyAlignment="1">
      <alignment horizontal="center" vertical="center" wrapText="1"/>
    </xf>
    <xf numFmtId="0" fontId="13" fillId="0" borderId="4" xfId="0" applyFont="1" applyBorder="1" applyAlignment="1">
      <alignment horizontal="justify" vertical="center" wrapText="1"/>
    </xf>
    <xf numFmtId="0" fontId="138" fillId="38" borderId="19" xfId="21" applyFont="1" applyBorder="1" applyAlignment="1">
      <alignment horizontal="center" vertical="center" wrapText="1"/>
    </xf>
    <xf numFmtId="0" fontId="138" fillId="38" borderId="38" xfId="21" applyFont="1" applyBorder="1" applyAlignment="1">
      <alignment horizontal="center" vertical="center" wrapText="1"/>
    </xf>
    <xf numFmtId="0" fontId="43" fillId="58" borderId="9" xfId="0" applyFont="1" applyFill="1" applyBorder="1" applyAlignment="1" applyProtection="1">
      <alignment horizontal="justify" vertical="center" wrapText="1"/>
      <protection hidden="1"/>
    </xf>
    <xf numFmtId="0" fontId="43" fillId="58" borderId="13" xfId="0" applyFont="1" applyFill="1" applyBorder="1" applyAlignment="1" applyProtection="1">
      <alignment horizontal="justify" vertical="center" wrapText="1"/>
      <protection hidden="1"/>
    </xf>
    <xf numFmtId="0" fontId="43" fillId="58" borderId="21" xfId="0" applyFont="1" applyFill="1" applyBorder="1" applyAlignment="1" applyProtection="1">
      <alignment horizontal="justify" vertical="center" wrapText="1"/>
      <protection hidden="1"/>
    </xf>
    <xf numFmtId="0" fontId="29" fillId="57" borderId="97" xfId="21" applyFont="1" applyFill="1" applyBorder="1" applyAlignment="1">
      <alignment horizontal="center" vertical="center" wrapText="1"/>
    </xf>
    <xf numFmtId="0" fontId="29" fillId="57" borderId="98" xfId="21" applyFont="1" applyFill="1" applyBorder="1" applyAlignment="1">
      <alignment horizontal="center" vertical="center" wrapText="1"/>
    </xf>
    <xf numFmtId="0" fontId="29" fillId="57" borderId="5" xfId="21" applyFont="1" applyFill="1" applyBorder="1" applyAlignment="1">
      <alignment horizontal="center" vertical="center" wrapText="1"/>
    </xf>
    <xf numFmtId="0" fontId="73" fillId="0" borderId="100" xfId="0" applyFont="1" applyBorder="1" applyAlignment="1">
      <alignment horizontal="justify" vertical="center" wrapText="1"/>
    </xf>
    <xf numFmtId="0" fontId="133" fillId="0" borderId="101" xfId="0" applyFont="1" applyBorder="1" applyAlignment="1">
      <alignment horizontal="justify" vertical="center" wrapText="1"/>
    </xf>
    <xf numFmtId="0" fontId="133" fillId="0" borderId="102" xfId="0" applyFont="1" applyBorder="1" applyAlignment="1">
      <alignment horizontal="justify" vertical="center" wrapText="1"/>
    </xf>
    <xf numFmtId="0" fontId="112" fillId="38" borderId="104" xfId="21" applyFont="1" applyBorder="1" applyAlignment="1">
      <alignment horizontal="center" vertical="center" wrapText="1"/>
    </xf>
    <xf numFmtId="0" fontId="112" fillId="38" borderId="3" xfId="21" applyFont="1" applyBorder="1" applyAlignment="1">
      <alignment horizontal="center" vertical="center" wrapText="1"/>
    </xf>
    <xf numFmtId="0" fontId="13" fillId="0" borderId="100" xfId="0" applyFont="1" applyBorder="1" applyAlignment="1">
      <alignment horizontal="justify" vertical="center" wrapText="1"/>
    </xf>
    <xf numFmtId="0" fontId="13" fillId="0" borderId="101" xfId="0" applyFont="1" applyBorder="1" applyAlignment="1">
      <alignment horizontal="justify" vertical="center" wrapText="1"/>
    </xf>
    <xf numFmtId="0" fontId="13" fillId="0" borderId="102" xfId="0" applyFont="1" applyBorder="1" applyAlignment="1">
      <alignment horizontal="justify" vertical="center" wrapText="1"/>
    </xf>
    <xf numFmtId="0" fontId="118" fillId="56" borderId="117" xfId="16" applyFont="1" applyFill="1" applyBorder="1" applyAlignment="1" applyProtection="1">
      <alignment horizontal="center" vertical="center" wrapText="1"/>
    </xf>
    <xf numFmtId="0" fontId="118" fillId="56" borderId="118" xfId="16" applyFont="1" applyFill="1" applyBorder="1" applyAlignment="1" applyProtection="1">
      <alignment horizontal="center" vertical="center" wrapText="1"/>
    </xf>
    <xf numFmtId="0" fontId="27" fillId="13" borderId="4" xfId="16" applyFont="1" applyFill="1" applyBorder="1" applyAlignment="1" applyProtection="1">
      <alignment horizontal="justify" vertical="center" wrapText="1"/>
    </xf>
    <xf numFmtId="0" fontId="43" fillId="57" borderId="9" xfId="16" applyFont="1" applyFill="1" applyBorder="1" applyAlignment="1" applyProtection="1">
      <alignment horizontal="justify" vertical="center" wrapText="1"/>
    </xf>
    <xf numFmtId="0" fontId="43" fillId="57" borderId="13" xfId="16" applyFont="1" applyFill="1" applyBorder="1" applyAlignment="1" applyProtection="1">
      <alignment horizontal="justify" vertical="center" wrapText="1"/>
    </xf>
    <xf numFmtId="0" fontId="43" fillId="57" borderId="21" xfId="16" applyFont="1" applyFill="1" applyBorder="1" applyAlignment="1" applyProtection="1">
      <alignment horizontal="justify" vertical="center" wrapText="1"/>
    </xf>
    <xf numFmtId="0" fontId="11" fillId="13" borderId="0" xfId="0" applyFont="1" applyFill="1" applyAlignment="1" applyProtection="1">
      <alignment horizontal="center" vertical="center" wrapText="1"/>
      <protection hidden="1"/>
    </xf>
    <xf numFmtId="0" fontId="11" fillId="13" borderId="26" xfId="0" applyFont="1" applyFill="1" applyBorder="1" applyAlignment="1" applyProtection="1">
      <alignment horizontal="center" vertical="center" wrapText="1"/>
      <protection hidden="1"/>
    </xf>
    <xf numFmtId="0" fontId="43" fillId="57" borderId="9" xfId="16" applyFont="1" applyFill="1" applyBorder="1" applyAlignment="1" applyProtection="1">
      <alignment horizontal="center" vertical="center" wrapText="1"/>
    </xf>
    <xf numFmtId="0" fontId="43" fillId="57" borderId="13" xfId="16" applyFont="1" applyFill="1" applyBorder="1" applyAlignment="1" applyProtection="1">
      <alignment horizontal="center" vertical="center" wrapText="1"/>
    </xf>
    <xf numFmtId="0" fontId="73" fillId="44" borderId="14" xfId="0" applyFont="1" applyFill="1" applyBorder="1" applyAlignment="1" applyProtection="1">
      <alignment horizontal="center" vertical="center" wrapText="1"/>
      <protection hidden="1"/>
    </xf>
    <xf numFmtId="0" fontId="129" fillId="0" borderId="9" xfId="0" applyFont="1" applyBorder="1" applyAlignment="1" applyProtection="1">
      <alignment horizontal="justify" vertical="center" wrapText="1"/>
      <protection hidden="1"/>
    </xf>
    <xf numFmtId="0" fontId="129" fillId="0" borderId="21" xfId="0" applyFont="1" applyBorder="1" applyAlignment="1" applyProtection="1">
      <alignment horizontal="justify" vertical="center" wrapText="1"/>
      <protection hidden="1"/>
    </xf>
    <xf numFmtId="0" fontId="21" fillId="0" borderId="4" xfId="0" applyFont="1" applyBorder="1" applyAlignment="1">
      <alignment horizontal="center" vertical="center" wrapText="1"/>
    </xf>
    <xf numFmtId="0" fontId="21" fillId="0" borderId="4" xfId="0" applyFont="1" applyBorder="1" applyAlignment="1">
      <alignment horizontal="justify" vertical="center" wrapText="1"/>
    </xf>
    <xf numFmtId="0" fontId="14" fillId="0" borderId="4" xfId="0" applyFont="1" applyBorder="1" applyAlignment="1" applyProtection="1">
      <alignment horizontal="center" vertical="center" wrapText="1"/>
      <protection hidden="1"/>
    </xf>
    <xf numFmtId="0" fontId="111" fillId="0" borderId="95" xfId="0" applyFont="1" applyBorder="1" applyAlignment="1" applyProtection="1">
      <alignment horizontal="left" wrapText="1"/>
      <protection locked="0"/>
    </xf>
    <xf numFmtId="0" fontId="13" fillId="53" borderId="4" xfId="5" applyFont="1" applyFill="1" applyBorder="1" applyAlignment="1">
      <alignment horizontal="justify" vertical="center" wrapText="1"/>
    </xf>
    <xf numFmtId="0" fontId="112" fillId="54" borderId="9" xfId="5" applyFont="1" applyFill="1" applyBorder="1" applyAlignment="1">
      <alignment horizontal="center" vertical="center" wrapText="1"/>
    </xf>
    <xf numFmtId="0" fontId="112" fillId="54" borderId="13" xfId="5" applyFont="1" applyFill="1" applyBorder="1" applyAlignment="1">
      <alignment horizontal="center" vertical="center" wrapText="1"/>
    </xf>
    <xf numFmtId="0" fontId="112" fillId="54" borderId="21" xfId="5" applyFont="1" applyFill="1" applyBorder="1" applyAlignment="1">
      <alignment horizontal="center" vertical="center" wrapText="1"/>
    </xf>
    <xf numFmtId="0" fontId="114" fillId="55" borderId="103" xfId="16" applyFont="1" applyFill="1" applyBorder="1" applyAlignment="1" applyProtection="1">
      <alignment horizontal="center" vertical="center" wrapText="1"/>
    </xf>
    <xf numFmtId="0" fontId="114" fillId="55" borderId="0" xfId="16" applyFont="1" applyFill="1" applyAlignment="1" applyProtection="1">
      <alignment horizontal="center" vertical="center" wrapText="1"/>
    </xf>
    <xf numFmtId="0" fontId="114" fillId="55" borderId="26" xfId="16" applyFont="1" applyFill="1" applyBorder="1" applyAlignment="1" applyProtection="1">
      <alignment horizontal="center" vertical="center" wrapText="1"/>
    </xf>
    <xf numFmtId="0" fontId="11" fillId="55" borderId="112" xfId="5" applyFont="1" applyFill="1" applyBorder="1" applyAlignment="1">
      <alignment horizontal="right" vertical="center" wrapText="1"/>
    </xf>
    <xf numFmtId="0" fontId="11" fillId="55" borderId="73" xfId="5" applyFont="1" applyFill="1" applyBorder="1" applyAlignment="1">
      <alignment horizontal="right" vertical="center" wrapText="1"/>
    </xf>
    <xf numFmtId="0" fontId="11" fillId="55" borderId="0" xfId="5" applyFont="1" applyFill="1" applyAlignment="1">
      <alignment horizontal="right" vertical="center" wrapText="1"/>
    </xf>
    <xf numFmtId="0" fontId="10" fillId="55" borderId="113" xfId="5" applyFont="1" applyFill="1" applyBorder="1" applyAlignment="1">
      <alignment horizontal="center" vertical="center" wrapText="1"/>
    </xf>
    <xf numFmtId="0" fontId="10" fillId="55" borderId="71" xfId="5" applyFont="1" applyFill="1" applyBorder="1" applyAlignment="1">
      <alignment horizontal="center" vertical="center" wrapText="1"/>
    </xf>
    <xf numFmtId="0" fontId="10" fillId="55" borderId="56" xfId="5" applyFont="1" applyFill="1" applyBorder="1" applyAlignment="1">
      <alignment horizontal="center" vertical="center" wrapText="1"/>
    </xf>
    <xf numFmtId="0" fontId="10" fillId="55" borderId="114" xfId="5" applyFont="1" applyFill="1" applyBorder="1" applyAlignment="1">
      <alignment horizontal="center" vertical="center" wrapText="1"/>
    </xf>
    <xf numFmtId="0" fontId="10" fillId="55" borderId="76" xfId="5" applyFont="1" applyFill="1" applyBorder="1" applyAlignment="1">
      <alignment horizontal="center" vertical="center" wrapText="1"/>
    </xf>
    <xf numFmtId="0" fontId="118" fillId="56" borderId="116" xfId="16" applyFont="1" applyFill="1" applyBorder="1" applyAlignment="1" applyProtection="1">
      <alignment horizontal="center" vertical="center" wrapText="1"/>
    </xf>
    <xf numFmtId="0" fontId="118" fillId="56" borderId="82" xfId="16" applyFont="1" applyFill="1" applyBorder="1" applyAlignment="1" applyProtection="1">
      <alignment horizontal="center" vertical="center" wrapText="1"/>
    </xf>
    <xf numFmtId="0" fontId="151" fillId="4" borderId="4" xfId="5" applyFont="1" applyFill="1" applyBorder="1" applyAlignment="1" applyProtection="1">
      <alignment horizontal="justify" vertical="center" wrapText="1"/>
      <protection hidden="1"/>
    </xf>
    <xf numFmtId="0" fontId="154" fillId="0" borderId="0" xfId="0" applyFont="1" applyAlignment="1">
      <alignment horizontal="left" vertical="center"/>
    </xf>
    <xf numFmtId="0" fontId="154" fillId="0" borderId="103" xfId="0" applyFont="1" applyBorder="1" applyAlignment="1" applyProtection="1">
      <alignment horizontal="left" vertical="center"/>
      <protection hidden="1"/>
    </xf>
    <xf numFmtId="0" fontId="154" fillId="0" borderId="0" xfId="0" applyFont="1" applyAlignment="1" applyProtection="1">
      <alignment horizontal="left" vertical="center"/>
      <protection hidden="1"/>
    </xf>
    <xf numFmtId="0" fontId="14" fillId="0" borderId="103" xfId="0" applyFont="1" applyBorder="1" applyAlignment="1" applyProtection="1">
      <alignment horizontal="left" vertical="center" wrapText="1"/>
      <protection hidden="1"/>
    </xf>
    <xf numFmtId="0" fontId="14" fillId="0" borderId="0" xfId="0" applyFont="1" applyAlignment="1" applyProtection="1">
      <alignment horizontal="left" vertical="center" wrapText="1"/>
      <protection hidden="1"/>
    </xf>
    <xf numFmtId="0" fontId="14" fillId="0" borderId="104" xfId="0" applyFont="1" applyBorder="1" applyAlignment="1" applyProtection="1">
      <alignment horizontal="justify" vertical="center" wrapText="1"/>
      <protection hidden="1"/>
    </xf>
    <xf numFmtId="0" fontId="14" fillId="0" borderId="2" xfId="0" applyFont="1" applyBorder="1" applyAlignment="1" applyProtection="1">
      <alignment horizontal="justify" vertical="center" wrapText="1"/>
      <protection hidden="1"/>
    </xf>
    <xf numFmtId="0" fontId="14" fillId="0" borderId="3" xfId="0" applyFont="1" applyBorder="1" applyAlignment="1" applyProtection="1">
      <alignment horizontal="justify" vertical="center" wrapText="1"/>
      <protection hidden="1"/>
    </xf>
    <xf numFmtId="0" fontId="156" fillId="0" borderId="0" xfId="0" applyFont="1" applyAlignment="1">
      <alignment horizontal="left" vertical="center"/>
    </xf>
    <xf numFmtId="0" fontId="151" fillId="4" borderId="22" xfId="5" applyFont="1" applyFill="1" applyBorder="1" applyAlignment="1" applyProtection="1">
      <alignment horizontal="justify" vertical="center" wrapText="1"/>
      <protection hidden="1"/>
    </xf>
    <xf numFmtId="0" fontId="14" fillId="13" borderId="100" xfId="0" applyFont="1" applyFill="1" applyBorder="1" applyAlignment="1" applyProtection="1">
      <alignment horizontal="left" vertical="center" wrapText="1"/>
      <protection hidden="1"/>
    </xf>
    <xf numFmtId="0" fontId="14" fillId="13" borderId="101" xfId="0" applyFont="1" applyFill="1" applyBorder="1" applyAlignment="1" applyProtection="1">
      <alignment horizontal="left" vertical="center" wrapText="1"/>
      <protection hidden="1"/>
    </xf>
    <xf numFmtId="0" fontId="14" fillId="13" borderId="102" xfId="0" applyFont="1" applyFill="1" applyBorder="1" applyAlignment="1" applyProtection="1">
      <alignment horizontal="left" vertical="center" wrapText="1"/>
      <protection hidden="1"/>
    </xf>
    <xf numFmtId="0" fontId="40" fillId="0" borderId="103" xfId="0" applyFont="1" applyBorder="1" applyAlignment="1" applyProtection="1">
      <alignment horizontal="justify" vertical="center" wrapText="1"/>
      <protection hidden="1"/>
    </xf>
    <xf numFmtId="0" fontId="40" fillId="0" borderId="0" xfId="0" applyFont="1" applyAlignment="1" applyProtection="1">
      <alignment horizontal="justify" vertical="center" wrapText="1"/>
      <protection hidden="1"/>
    </xf>
    <xf numFmtId="0" fontId="40" fillId="0" borderId="26" xfId="0" applyFont="1" applyBorder="1" applyAlignment="1" applyProtection="1">
      <alignment horizontal="justify" vertical="center" wrapText="1"/>
      <protection hidden="1"/>
    </xf>
    <xf numFmtId="0" fontId="37" fillId="0" borderId="103" xfId="0" applyFont="1" applyBorder="1" applyAlignment="1" applyProtection="1">
      <alignment horizontal="center" vertical="center" wrapText="1"/>
      <protection hidden="1"/>
    </xf>
    <xf numFmtId="0" fontId="37" fillId="0" borderId="0" xfId="0" applyFont="1" applyAlignment="1" applyProtection="1">
      <alignment horizontal="center" vertical="center" wrapText="1"/>
      <protection hidden="1"/>
    </xf>
    <xf numFmtId="0" fontId="53" fillId="4" borderId="20" xfId="5" applyFont="1" applyFill="1" applyBorder="1" applyAlignment="1" applyProtection="1">
      <alignment horizontal="center" vertical="center" wrapText="1"/>
      <protection hidden="1"/>
    </xf>
    <xf numFmtId="0" fontId="53" fillId="4" borderId="24" xfId="5" applyFont="1" applyFill="1" applyBorder="1" applyAlignment="1" applyProtection="1">
      <alignment horizontal="center" vertical="center" wrapText="1"/>
      <protection hidden="1"/>
    </xf>
    <xf numFmtId="0" fontId="53" fillId="4" borderId="14" xfId="5" applyFont="1" applyFill="1" applyBorder="1" applyAlignment="1" applyProtection="1">
      <alignment horizontal="center" vertical="center" wrapText="1"/>
      <protection hidden="1"/>
    </xf>
    <xf numFmtId="0" fontId="151" fillId="4" borderId="4" xfId="5" applyFont="1" applyFill="1" applyBorder="1" applyAlignment="1" applyProtection="1">
      <alignment horizontal="center" vertical="center" wrapText="1"/>
      <protection hidden="1"/>
    </xf>
    <xf numFmtId="9" fontId="110" fillId="15" borderId="28" xfId="5" applyNumberFormat="1" applyFont="1" applyFill="1" applyBorder="1" applyAlignment="1" applyProtection="1">
      <alignment horizontal="center" vertical="center"/>
      <protection locked="0"/>
    </xf>
    <xf numFmtId="9" fontId="110" fillId="15" borderId="134" xfId="5" applyNumberFormat="1" applyFont="1" applyFill="1" applyBorder="1" applyAlignment="1" applyProtection="1">
      <alignment horizontal="center" vertical="center"/>
      <protection locked="0"/>
    </xf>
    <xf numFmtId="9" fontId="110" fillId="15" borderId="15" xfId="5" applyNumberFormat="1" applyFont="1" applyFill="1" applyBorder="1" applyAlignment="1" applyProtection="1">
      <alignment horizontal="center" vertical="center"/>
      <protection locked="0"/>
    </xf>
    <xf numFmtId="0" fontId="65" fillId="4" borderId="16" xfId="5" applyFont="1" applyFill="1" applyBorder="1" applyAlignment="1" applyProtection="1">
      <alignment horizontal="center" vertical="center" wrapText="1"/>
      <protection hidden="1"/>
    </xf>
    <xf numFmtId="0" fontId="65" fillId="4" borderId="25" xfId="5" applyFont="1" applyFill="1" applyBorder="1" applyAlignment="1" applyProtection="1">
      <alignment horizontal="center" vertical="center" wrapText="1"/>
      <protection hidden="1"/>
    </xf>
    <xf numFmtId="0" fontId="152" fillId="4" borderId="4" xfId="5" applyFont="1" applyFill="1" applyBorder="1" applyAlignment="1" applyProtection="1">
      <alignment horizontal="justify" vertical="center" wrapText="1"/>
      <protection hidden="1"/>
    </xf>
    <xf numFmtId="0" fontId="65" fillId="4" borderId="4" xfId="5" applyFont="1" applyFill="1" applyBorder="1" applyAlignment="1" applyProtection="1">
      <alignment horizontal="center" vertical="center" textRotation="90" wrapText="1"/>
      <protection hidden="1"/>
    </xf>
    <xf numFmtId="0" fontId="53" fillId="4" borderId="4" xfId="5" applyFont="1" applyFill="1" applyBorder="1" applyAlignment="1" applyProtection="1">
      <alignment horizontal="center" vertical="center" textRotation="90" wrapText="1"/>
      <protection hidden="1"/>
    </xf>
    <xf numFmtId="0" fontId="53" fillId="4" borderId="22" xfId="5" applyFont="1" applyFill="1" applyBorder="1" applyAlignment="1" applyProtection="1">
      <alignment horizontal="center" vertical="center" textRotation="90" wrapText="1"/>
      <protection hidden="1"/>
    </xf>
    <xf numFmtId="0" fontId="152" fillId="4" borderId="4" xfId="5" applyFont="1" applyFill="1" applyBorder="1" applyAlignment="1" applyProtection="1">
      <alignment horizontal="center" vertical="center" wrapText="1"/>
      <protection hidden="1"/>
    </xf>
    <xf numFmtId="0" fontId="152" fillId="4" borderId="22" xfId="5" applyFont="1" applyFill="1" applyBorder="1" applyAlignment="1" applyProtection="1">
      <alignment horizontal="center" vertical="center" wrapText="1"/>
      <protection hidden="1"/>
    </xf>
    <xf numFmtId="0" fontId="151" fillId="4" borderId="22" xfId="5" applyFont="1" applyFill="1" applyBorder="1" applyAlignment="1" applyProtection="1">
      <alignment horizontal="center" vertical="center" wrapText="1"/>
      <protection hidden="1"/>
    </xf>
    <xf numFmtId="0" fontId="65" fillId="4" borderId="10" xfId="5" applyFont="1" applyFill="1" applyBorder="1" applyAlignment="1" applyProtection="1">
      <alignment horizontal="center" vertical="center" wrapText="1"/>
      <protection hidden="1"/>
    </xf>
    <xf numFmtId="0" fontId="151" fillId="4" borderId="11" xfId="5" applyFont="1" applyFill="1" applyBorder="1" applyAlignment="1" applyProtection="1">
      <alignment horizontal="justify" vertical="center" wrapText="1"/>
      <protection hidden="1"/>
    </xf>
    <xf numFmtId="0" fontId="65" fillId="4" borderId="11" xfId="5" applyFont="1" applyFill="1" applyBorder="1" applyAlignment="1" applyProtection="1">
      <alignment horizontal="center" vertical="center" textRotation="90" wrapText="1"/>
      <protection hidden="1"/>
    </xf>
    <xf numFmtId="0" fontId="151" fillId="4" borderId="11" xfId="5" applyFont="1" applyFill="1" applyBorder="1" applyAlignment="1" applyProtection="1">
      <alignment horizontal="center" vertical="center" wrapText="1"/>
      <protection hidden="1"/>
    </xf>
    <xf numFmtId="10" fontId="110" fillId="15" borderId="17" xfId="5" applyNumberFormat="1" applyFont="1" applyFill="1" applyBorder="1" applyAlignment="1" applyProtection="1">
      <alignment horizontal="center" vertical="center"/>
      <protection locked="0"/>
    </xf>
    <xf numFmtId="0" fontId="53" fillId="4" borderId="4" xfId="5" applyFont="1" applyFill="1" applyBorder="1" applyAlignment="1" applyProtection="1">
      <alignment horizontal="center" vertical="center" wrapText="1"/>
      <protection hidden="1"/>
    </xf>
    <xf numFmtId="0" fontId="23" fillId="22" borderId="136" xfId="12" applyFont="1" applyBorder="1" applyAlignment="1" applyProtection="1">
      <alignment horizontal="center" vertical="center" wrapText="1"/>
      <protection hidden="1"/>
    </xf>
    <xf numFmtId="0" fontId="23" fillId="22" borderId="98" xfId="12" applyFont="1" applyBorder="1" applyAlignment="1" applyProtection="1">
      <alignment horizontal="center" vertical="center" wrapText="1"/>
      <protection hidden="1"/>
    </xf>
    <xf numFmtId="0" fontId="23" fillId="22" borderId="137" xfId="12" applyFont="1" applyBorder="1" applyAlignment="1" applyProtection="1">
      <alignment horizontal="center" vertical="center" wrapText="1"/>
      <protection hidden="1"/>
    </xf>
    <xf numFmtId="0" fontId="53" fillId="4" borderId="7" xfId="5" applyFont="1" applyFill="1" applyBorder="1" applyAlignment="1" applyProtection="1">
      <alignment horizontal="center" vertical="center" wrapText="1"/>
      <protection hidden="1"/>
    </xf>
    <xf numFmtId="0" fontId="53" fillId="4" borderId="20" xfId="5" applyFont="1" applyFill="1" applyBorder="1" applyAlignment="1" applyProtection="1">
      <alignment horizontal="center" vertical="center" textRotation="90" wrapText="1"/>
      <protection hidden="1"/>
    </xf>
    <xf numFmtId="0" fontId="151" fillId="4" borderId="7" xfId="5" applyFont="1" applyFill="1" applyBorder="1" applyAlignment="1" applyProtection="1">
      <alignment horizontal="justify" vertical="center" wrapText="1"/>
      <protection hidden="1"/>
    </xf>
    <xf numFmtId="0" fontId="151" fillId="4" borderId="24" xfId="5" applyFont="1" applyFill="1" applyBorder="1" applyAlignment="1" applyProtection="1">
      <alignment horizontal="justify" vertical="center" wrapText="1"/>
      <protection hidden="1"/>
    </xf>
    <xf numFmtId="0" fontId="151" fillId="4" borderId="47" xfId="5" applyFont="1" applyFill="1" applyBorder="1" applyAlignment="1" applyProtection="1">
      <alignment horizontal="justify" vertical="center" wrapText="1"/>
      <protection hidden="1"/>
    </xf>
    <xf numFmtId="9" fontId="110" fillId="15" borderId="8" xfId="5" applyNumberFormat="1" applyFont="1" applyFill="1" applyBorder="1" applyAlignment="1" applyProtection="1">
      <alignment horizontal="center" vertical="center"/>
      <protection locked="0"/>
    </xf>
    <xf numFmtId="0" fontId="65" fillId="4" borderId="29" xfId="5" applyFont="1" applyFill="1" applyBorder="1" applyAlignment="1" applyProtection="1">
      <alignment horizontal="center" vertical="center" wrapText="1"/>
      <protection hidden="1"/>
    </xf>
    <xf numFmtId="0" fontId="53" fillId="4" borderId="47" xfId="5" applyFont="1" applyFill="1" applyBorder="1" applyAlignment="1" applyProtection="1">
      <alignment horizontal="center" vertical="center" wrapText="1"/>
      <protection hidden="1"/>
    </xf>
    <xf numFmtId="0" fontId="151" fillId="4" borderId="20" xfId="5" applyFont="1" applyFill="1" applyBorder="1" applyAlignment="1" applyProtection="1">
      <alignment horizontal="center" vertical="center" wrapText="1"/>
      <protection hidden="1"/>
    </xf>
    <xf numFmtId="9" fontId="110" fillId="15" borderId="130" xfId="5" applyNumberFormat="1" applyFont="1" applyFill="1" applyBorder="1" applyAlignment="1" applyProtection="1">
      <alignment horizontal="center" vertical="center"/>
      <protection locked="0"/>
    </xf>
    <xf numFmtId="0" fontId="151" fillId="4" borderId="20" xfId="5" applyFont="1" applyFill="1" applyBorder="1" applyAlignment="1" applyProtection="1">
      <alignment horizontal="justify" vertical="center" wrapText="1"/>
      <protection hidden="1"/>
    </xf>
    <xf numFmtId="0" fontId="73" fillId="4" borderId="132" xfId="5" applyFont="1" applyFill="1" applyBorder="1" applyAlignment="1" applyProtection="1">
      <alignment horizontal="center" vertical="center" wrapText="1"/>
      <protection hidden="1"/>
    </xf>
    <xf numFmtId="0" fontId="73" fillId="4" borderId="51" xfId="5" applyFont="1" applyFill="1" applyBorder="1" applyAlignment="1" applyProtection="1">
      <alignment horizontal="center" vertical="center" wrapText="1"/>
      <protection hidden="1"/>
    </xf>
    <xf numFmtId="0" fontId="73" fillId="4" borderId="135" xfId="5" applyFont="1" applyFill="1" applyBorder="1" applyAlignment="1" applyProtection="1">
      <alignment horizontal="center" vertical="center" wrapText="1"/>
      <protection hidden="1"/>
    </xf>
    <xf numFmtId="0" fontId="23" fillId="22" borderId="27" xfId="12" applyFont="1" applyBorder="1" applyAlignment="1" applyProtection="1">
      <alignment horizontal="center" vertical="center" wrapText="1"/>
      <protection hidden="1"/>
    </xf>
    <xf numFmtId="0" fontId="23" fillId="22" borderId="133" xfId="12" applyFont="1" applyBorder="1" applyAlignment="1" applyProtection="1">
      <alignment horizontal="center" vertical="center" wrapText="1"/>
      <protection hidden="1"/>
    </xf>
    <xf numFmtId="0" fontId="23" fillId="22" borderId="87" xfId="12" applyFont="1" applyBorder="1" applyAlignment="1" applyProtection="1">
      <alignment horizontal="center" vertical="center" wrapText="1"/>
      <protection hidden="1"/>
    </xf>
    <xf numFmtId="0" fontId="74" fillId="4" borderId="4" xfId="5" applyFont="1" applyFill="1" applyBorder="1" applyAlignment="1" applyProtection="1">
      <alignment horizontal="center" vertical="center" textRotation="90" wrapText="1"/>
      <protection hidden="1"/>
    </xf>
    <xf numFmtId="0" fontId="151" fillId="4" borderId="24" xfId="5" applyFont="1" applyFill="1" applyBorder="1" applyAlignment="1" applyProtection="1">
      <alignment horizontal="center" vertical="center" wrapText="1"/>
      <protection hidden="1"/>
    </xf>
    <xf numFmtId="0" fontId="151" fillId="4" borderId="47" xfId="5" applyFont="1" applyFill="1" applyBorder="1" applyAlignment="1" applyProtection="1">
      <alignment horizontal="center" vertical="center" wrapText="1"/>
      <protection hidden="1"/>
    </xf>
    <xf numFmtId="0" fontId="65" fillId="4" borderId="20" xfId="5" applyFont="1" applyFill="1" applyBorder="1" applyAlignment="1" applyProtection="1">
      <alignment horizontal="center" vertical="center" textRotation="90" wrapText="1"/>
      <protection hidden="1"/>
    </xf>
    <xf numFmtId="0" fontId="65" fillId="4" borderId="24" xfId="5" applyFont="1" applyFill="1" applyBorder="1" applyAlignment="1" applyProtection="1">
      <alignment horizontal="center" vertical="center" textRotation="90" wrapText="1"/>
      <protection hidden="1"/>
    </xf>
    <xf numFmtId="0" fontId="65" fillId="4" borderId="14" xfId="5" applyFont="1" applyFill="1" applyBorder="1" applyAlignment="1" applyProtection="1">
      <alignment horizontal="center" vertical="center" textRotation="90" wrapText="1"/>
      <protection hidden="1"/>
    </xf>
    <xf numFmtId="0" fontId="151" fillId="4" borderId="14" xfId="5" applyFont="1" applyFill="1" applyBorder="1" applyAlignment="1" applyProtection="1">
      <alignment horizontal="center" vertical="center" wrapText="1"/>
      <protection hidden="1"/>
    </xf>
    <xf numFmtId="10" fontId="110" fillId="15" borderId="28" xfId="5" applyNumberFormat="1" applyFont="1" applyFill="1" applyBorder="1" applyAlignment="1" applyProtection="1">
      <alignment horizontal="center" vertical="center"/>
      <protection locked="0"/>
    </xf>
    <xf numFmtId="10" fontId="110" fillId="15" borderId="134" xfId="5" applyNumberFormat="1" applyFont="1" applyFill="1" applyBorder="1" applyAlignment="1" applyProtection="1">
      <alignment horizontal="center" vertical="center"/>
      <protection locked="0"/>
    </xf>
    <xf numFmtId="10" fontId="110" fillId="15" borderId="15" xfId="5" applyNumberFormat="1" applyFont="1" applyFill="1" applyBorder="1" applyAlignment="1" applyProtection="1">
      <alignment horizontal="center" vertical="center"/>
      <protection locked="0"/>
    </xf>
    <xf numFmtId="0" fontId="28" fillId="4" borderId="9" xfId="5" applyFont="1" applyFill="1" applyBorder="1" applyAlignment="1" applyProtection="1">
      <alignment horizontal="center" vertical="center" wrapText="1"/>
      <protection hidden="1"/>
    </xf>
    <xf numFmtId="0" fontId="28" fillId="4" borderId="13" xfId="5" applyFont="1" applyFill="1" applyBorder="1" applyAlignment="1" applyProtection="1">
      <alignment horizontal="center" vertical="center" wrapText="1"/>
      <protection hidden="1"/>
    </xf>
    <xf numFmtId="0" fontId="28" fillId="4" borderId="21" xfId="5" applyFont="1" applyFill="1" applyBorder="1" applyAlignment="1" applyProtection="1">
      <alignment horizontal="center" vertical="center" wrapText="1"/>
      <protection hidden="1"/>
    </xf>
    <xf numFmtId="0" fontId="35" fillId="4" borderId="20" xfId="0" applyFont="1" applyFill="1" applyBorder="1" applyAlignment="1" applyProtection="1">
      <alignment horizontal="center" vertical="center" textRotation="90" wrapText="1"/>
      <protection hidden="1"/>
    </xf>
    <xf numFmtId="0" fontId="35" fillId="4" borderId="24" xfId="0" applyFont="1" applyFill="1" applyBorder="1" applyAlignment="1" applyProtection="1">
      <alignment horizontal="center" vertical="center" textRotation="90" wrapText="1"/>
      <protection hidden="1"/>
    </xf>
    <xf numFmtId="0" fontId="35" fillId="4" borderId="47" xfId="0" applyFont="1" applyFill="1" applyBorder="1" applyAlignment="1" applyProtection="1">
      <alignment horizontal="center" vertical="center" textRotation="90" wrapText="1"/>
      <protection hidden="1"/>
    </xf>
    <xf numFmtId="9" fontId="147" fillId="14" borderId="9" xfId="7" applyFont="1" applyFill="1" applyBorder="1" applyAlignment="1" applyProtection="1">
      <alignment horizontal="center" vertical="center" wrapText="1"/>
      <protection hidden="1"/>
    </xf>
    <xf numFmtId="9" fontId="147" fillId="14" borderId="21" xfId="7" applyFont="1" applyFill="1" applyBorder="1" applyAlignment="1" applyProtection="1">
      <alignment horizontal="center" vertical="center" wrapText="1"/>
      <protection hidden="1"/>
    </xf>
    <xf numFmtId="0" fontId="10" fillId="36" borderId="45" xfId="5" applyFont="1" applyFill="1" applyBorder="1" applyAlignment="1" applyProtection="1">
      <alignment horizontal="center" vertical="center" wrapText="1"/>
      <protection hidden="1"/>
    </xf>
    <xf numFmtId="0" fontId="10" fillId="36" borderId="0" xfId="5" applyFont="1" applyFill="1" applyAlignment="1" applyProtection="1">
      <alignment horizontal="center" vertical="center" wrapText="1"/>
      <protection hidden="1"/>
    </xf>
    <xf numFmtId="0" fontId="10" fillId="36" borderId="26" xfId="5" applyFont="1" applyFill="1" applyBorder="1" applyAlignment="1" applyProtection="1">
      <alignment horizontal="center" vertical="center" wrapText="1"/>
      <protection hidden="1"/>
    </xf>
    <xf numFmtId="0" fontId="10" fillId="41" borderId="4" xfId="23" applyFont="1" applyBorder="1" applyAlignment="1" applyProtection="1">
      <alignment horizontal="center" vertical="center" wrapText="1"/>
      <protection hidden="1"/>
    </xf>
    <xf numFmtId="0" fontId="28" fillId="59" borderId="4" xfId="5" applyFont="1" applyFill="1" applyBorder="1" applyAlignment="1" applyProtection="1">
      <alignment horizontal="center" vertical="center" wrapText="1"/>
      <protection hidden="1"/>
    </xf>
    <xf numFmtId="0" fontId="10" fillId="36" borderId="49" xfId="5" applyFont="1" applyFill="1" applyBorder="1" applyAlignment="1" applyProtection="1">
      <alignment horizontal="center" vertical="center" wrapText="1"/>
      <protection hidden="1"/>
    </xf>
    <xf numFmtId="0" fontId="10" fillId="36" borderId="16" xfId="5" applyFont="1" applyFill="1" applyBorder="1" applyAlignment="1" applyProtection="1">
      <alignment horizontal="center" vertical="center" wrapText="1"/>
      <protection hidden="1"/>
    </xf>
    <xf numFmtId="0" fontId="10" fillId="36" borderId="14" xfId="5" applyFont="1" applyFill="1" applyBorder="1" applyAlignment="1" applyProtection="1">
      <alignment horizontal="center" vertical="center" wrapText="1"/>
      <protection hidden="1"/>
    </xf>
    <xf numFmtId="0" fontId="10" fillId="36" borderId="4" xfId="5" applyFont="1" applyFill="1" applyBorder="1" applyAlignment="1" applyProtection="1">
      <alignment horizontal="center" vertical="center" wrapText="1"/>
      <protection hidden="1"/>
    </xf>
    <xf numFmtId="0" fontId="10" fillId="36" borderId="24" xfId="5" applyFont="1" applyFill="1" applyBorder="1" applyAlignment="1" applyProtection="1">
      <alignment horizontal="center" vertical="center" wrapText="1"/>
      <protection hidden="1"/>
    </xf>
    <xf numFmtId="0" fontId="11" fillId="62" borderId="9" xfId="5" applyFont="1" applyFill="1" applyBorder="1" applyAlignment="1" applyProtection="1">
      <alignment horizontal="center" vertical="center" wrapText="1"/>
      <protection hidden="1"/>
    </xf>
    <xf numFmtId="0" fontId="11" fillId="62" borderId="21" xfId="5" applyFont="1" applyFill="1" applyBorder="1" applyAlignment="1" applyProtection="1">
      <alignment horizontal="center" vertical="center" wrapText="1"/>
      <protection hidden="1"/>
    </xf>
    <xf numFmtId="170" fontId="11" fillId="61" borderId="126" xfId="7" applyNumberFormat="1" applyFont="1" applyFill="1" applyBorder="1" applyAlignment="1" applyProtection="1">
      <alignment horizontal="center" vertical="center"/>
      <protection hidden="1"/>
    </xf>
    <xf numFmtId="170" fontId="11" fillId="61" borderId="3" xfId="7" applyNumberFormat="1" applyFont="1" applyFill="1" applyBorder="1" applyAlignment="1" applyProtection="1">
      <alignment horizontal="center" vertical="center"/>
      <protection hidden="1"/>
    </xf>
    <xf numFmtId="0" fontId="14" fillId="0" borderId="9" xfId="0" applyFont="1" applyBorder="1" applyAlignment="1" applyProtection="1">
      <alignment horizontal="justify" vertical="center" wrapText="1"/>
      <protection hidden="1"/>
    </xf>
    <xf numFmtId="0" fontId="14" fillId="0" borderId="13" xfId="0" applyFont="1" applyBorder="1" applyAlignment="1" applyProtection="1">
      <alignment horizontal="justify" vertical="center"/>
      <protection hidden="1"/>
    </xf>
    <xf numFmtId="0" fontId="14" fillId="0" borderId="21" xfId="0" applyFont="1" applyBorder="1" applyAlignment="1" applyProtection="1">
      <alignment horizontal="justify" vertical="center"/>
      <protection hidden="1"/>
    </xf>
    <xf numFmtId="0" fontId="14" fillId="0" borderId="0" xfId="0" applyFont="1" applyAlignment="1">
      <alignment horizontal="left" vertical="center" wrapText="1"/>
    </xf>
    <xf numFmtId="0" fontId="150" fillId="54" borderId="9" xfId="5" applyFont="1" applyFill="1" applyBorder="1" applyAlignment="1" applyProtection="1">
      <alignment horizontal="center" vertical="center"/>
      <protection hidden="1"/>
    </xf>
    <xf numFmtId="0" fontId="150" fillId="54" borderId="13" xfId="5" applyFont="1" applyFill="1" applyBorder="1" applyAlignment="1" applyProtection="1">
      <alignment horizontal="center" vertical="center"/>
      <protection hidden="1"/>
    </xf>
    <xf numFmtId="0" fontId="150" fillId="54" borderId="21" xfId="5" applyFont="1" applyFill="1" applyBorder="1" applyAlignment="1" applyProtection="1">
      <alignment horizontal="center" vertical="center"/>
      <protection hidden="1"/>
    </xf>
    <xf numFmtId="0" fontId="35" fillId="36" borderId="38" xfId="33" applyFont="1" applyFill="1" applyBorder="1" applyAlignment="1" applyProtection="1">
      <alignment horizontal="center" vertical="center" wrapText="1"/>
      <protection hidden="1"/>
    </xf>
    <xf numFmtId="0" fontId="35" fillId="36" borderId="39" xfId="33" applyFont="1" applyFill="1" applyBorder="1" applyAlignment="1" applyProtection="1">
      <alignment horizontal="center" vertical="center" wrapText="1"/>
      <protection hidden="1"/>
    </xf>
    <xf numFmtId="0" fontId="35" fillId="36" borderId="40" xfId="33" applyFont="1" applyFill="1" applyBorder="1" applyAlignment="1" applyProtection="1">
      <alignment horizontal="center" vertical="center" wrapText="1"/>
      <protection hidden="1"/>
    </xf>
    <xf numFmtId="0" fontId="35" fillId="36" borderId="6" xfId="33" applyFont="1" applyFill="1" applyBorder="1" applyAlignment="1" applyProtection="1">
      <alignment horizontal="center" vertical="center" wrapText="1"/>
      <protection hidden="1"/>
    </xf>
    <xf numFmtId="0" fontId="35" fillId="36" borderId="7" xfId="33" applyFont="1" applyFill="1" applyBorder="1" applyAlignment="1" applyProtection="1">
      <alignment horizontal="center" vertical="center" wrapText="1"/>
      <protection hidden="1"/>
    </xf>
    <xf numFmtId="0" fontId="35" fillId="36" borderId="128" xfId="33" applyFont="1" applyFill="1" applyBorder="1" applyAlignment="1" applyProtection="1">
      <alignment horizontal="center" vertical="center" wrapText="1"/>
      <protection hidden="1"/>
    </xf>
    <xf numFmtId="0" fontId="110" fillId="15" borderId="125" xfId="5" applyFont="1" applyFill="1" applyBorder="1" applyAlignment="1" applyProtection="1">
      <alignment horizontal="center" vertical="center"/>
      <protection hidden="1"/>
    </xf>
    <xf numFmtId="0" fontId="110" fillId="15" borderId="129" xfId="5" applyFont="1" applyFill="1" applyBorder="1" applyAlignment="1" applyProtection="1">
      <alignment horizontal="center" vertical="center"/>
      <protection hidden="1"/>
    </xf>
    <xf numFmtId="0" fontId="110" fillId="15" borderId="131" xfId="5" applyFont="1" applyFill="1" applyBorder="1" applyAlignment="1" applyProtection="1">
      <alignment horizontal="center" vertical="center"/>
      <protection hidden="1"/>
    </xf>
    <xf numFmtId="0" fontId="35" fillId="36" borderId="48" xfId="33" applyFont="1" applyFill="1" applyBorder="1" applyAlignment="1" applyProtection="1">
      <alignment horizontal="center" vertical="center" wrapText="1"/>
      <protection hidden="1"/>
    </xf>
    <xf numFmtId="0" fontId="35" fillId="36" borderId="11" xfId="33" applyFont="1" applyFill="1" applyBorder="1" applyAlignment="1" applyProtection="1">
      <alignment horizontal="center" vertical="center" wrapText="1"/>
      <protection hidden="1"/>
    </xf>
    <xf numFmtId="0" fontId="35" fillId="36" borderId="22" xfId="33" applyFont="1" applyFill="1" applyBorder="1" applyAlignment="1" applyProtection="1">
      <alignment horizontal="center" vertical="center" wrapText="1"/>
      <protection hidden="1"/>
    </xf>
    <xf numFmtId="0" fontId="35" fillId="36" borderId="8" xfId="33" applyFont="1" applyFill="1" applyBorder="1" applyAlignment="1" applyProtection="1">
      <alignment horizontal="center" vertical="center" wrapText="1"/>
      <protection hidden="1"/>
    </xf>
    <xf numFmtId="0" fontId="35" fillId="36" borderId="130" xfId="33" applyFont="1" applyFill="1" applyBorder="1" applyAlignment="1" applyProtection="1">
      <alignment horizontal="center" vertical="center" wrapText="1"/>
      <protection hidden="1"/>
    </xf>
    <xf numFmtId="0" fontId="14" fillId="0" borderId="13" xfId="0" applyFont="1" applyBorder="1" applyAlignment="1" applyProtection="1">
      <alignment horizontal="left" vertical="center"/>
      <protection locked="0"/>
    </xf>
    <xf numFmtId="0" fontId="14" fillId="0" borderId="33" xfId="0" applyFont="1" applyBorder="1" applyAlignment="1" applyProtection="1">
      <alignment horizontal="left" vertical="center"/>
      <protection locked="0"/>
    </xf>
    <xf numFmtId="14" fontId="14" fillId="0" borderId="13" xfId="0" applyNumberFormat="1" applyFont="1" applyBorder="1" applyAlignment="1" applyProtection="1">
      <alignment horizontal="left" vertical="center"/>
      <protection locked="0"/>
    </xf>
    <xf numFmtId="0" fontId="11" fillId="13" borderId="0" xfId="5" applyFont="1" applyFill="1" applyAlignment="1">
      <alignment horizontal="center" vertical="center" wrapText="1"/>
    </xf>
    <xf numFmtId="0" fontId="11" fillId="54" borderId="4" xfId="5" applyFont="1" applyFill="1" applyBorder="1" applyAlignment="1">
      <alignment horizontal="center" vertical="center" wrapText="1"/>
    </xf>
    <xf numFmtId="0" fontId="10" fillId="0" borderId="0" xfId="0" applyFont="1" applyAlignment="1" applyProtection="1">
      <alignment horizontal="center" vertical="center"/>
      <protection hidden="1"/>
    </xf>
    <xf numFmtId="0" fontId="14" fillId="0" borderId="4" xfId="0" applyFont="1" applyBorder="1" applyAlignment="1" applyProtection="1">
      <alignment horizontal="center" vertical="center"/>
      <protection hidden="1"/>
    </xf>
    <xf numFmtId="0" fontId="19" fillId="0" borderId="166" xfId="0" applyFont="1" applyBorder="1" applyAlignment="1" applyProtection="1">
      <alignment horizontal="center" vertical="center" wrapText="1"/>
      <protection hidden="1"/>
    </xf>
    <xf numFmtId="0" fontId="19" fillId="0" borderId="170" xfId="0" applyFont="1" applyBorder="1" applyAlignment="1" applyProtection="1">
      <alignment horizontal="center" vertical="center" wrapText="1"/>
      <protection hidden="1"/>
    </xf>
    <xf numFmtId="0" fontId="19" fillId="0" borderId="169" xfId="0" applyFont="1" applyBorder="1" applyAlignment="1" applyProtection="1">
      <alignment horizontal="center" vertical="center" wrapText="1"/>
      <protection hidden="1"/>
    </xf>
    <xf numFmtId="0" fontId="19" fillId="0" borderId="31" xfId="0" applyFont="1" applyBorder="1" applyAlignment="1" applyProtection="1">
      <alignment horizontal="center" vertical="center" wrapText="1"/>
      <protection hidden="1"/>
    </xf>
    <xf numFmtId="0" fontId="19" fillId="0" borderId="33" xfId="0" applyFont="1" applyBorder="1" applyAlignment="1" applyProtection="1">
      <alignment horizontal="center" vertical="center" wrapText="1"/>
      <protection hidden="1"/>
    </xf>
    <xf numFmtId="0" fontId="19" fillId="0" borderId="35" xfId="0" applyFont="1" applyBorder="1" applyAlignment="1" applyProtection="1">
      <alignment horizontal="center" vertical="center" wrapText="1"/>
      <protection hidden="1"/>
    </xf>
    <xf numFmtId="0" fontId="47" fillId="13" borderId="9" xfId="0" applyFont="1" applyFill="1" applyBorder="1" applyAlignment="1" applyProtection="1">
      <alignment horizontal="left" vertical="center" wrapText="1"/>
      <protection hidden="1"/>
    </xf>
    <xf numFmtId="0" fontId="47" fillId="13" borderId="21" xfId="0" applyFont="1" applyFill="1" applyBorder="1" applyAlignment="1" applyProtection="1">
      <alignment horizontal="left" vertical="center" wrapText="1"/>
      <protection hidden="1"/>
    </xf>
    <xf numFmtId="0" fontId="36" fillId="0" borderId="4" xfId="0" applyFont="1" applyBorder="1" applyAlignment="1">
      <alignment horizontal="left" vertical="center" wrapText="1"/>
    </xf>
    <xf numFmtId="0" fontId="22" fillId="0" borderId="0" xfId="0" applyFont="1" applyAlignment="1" applyProtection="1">
      <alignment horizontal="center" vertical="center"/>
      <protection hidden="1"/>
    </xf>
    <xf numFmtId="0" fontId="51" fillId="64" borderId="12" xfId="0" applyFont="1" applyFill="1" applyBorder="1" applyAlignment="1" applyProtection="1">
      <alignment horizontal="center" vertical="center" wrapText="1"/>
      <protection hidden="1"/>
    </xf>
    <xf numFmtId="0" fontId="51" fillId="64" borderId="23" xfId="0" applyFont="1" applyFill="1" applyBorder="1" applyAlignment="1" applyProtection="1">
      <alignment horizontal="center" vertical="center" wrapText="1"/>
      <protection hidden="1"/>
    </xf>
    <xf numFmtId="0" fontId="14" fillId="0" borderId="4" xfId="0" applyFont="1" applyBorder="1" applyAlignment="1">
      <alignment horizontal="center" vertical="center"/>
    </xf>
    <xf numFmtId="0" fontId="51" fillId="64" borderId="100" xfId="0" applyFont="1" applyFill="1" applyBorder="1" applyAlignment="1" applyProtection="1">
      <alignment horizontal="center" vertical="center" wrapText="1"/>
      <protection hidden="1"/>
    </xf>
    <xf numFmtId="0" fontId="51" fillId="64" borderId="102" xfId="0" applyFont="1" applyFill="1" applyBorder="1" applyAlignment="1" applyProtection="1">
      <alignment horizontal="center" vertical="center" wrapText="1"/>
      <protection hidden="1"/>
    </xf>
    <xf numFmtId="0" fontId="51" fillId="64" borderId="104" xfId="0" applyFont="1" applyFill="1" applyBorder="1" applyAlignment="1" applyProtection="1">
      <alignment horizontal="center" vertical="center" wrapText="1"/>
      <protection hidden="1"/>
    </xf>
    <xf numFmtId="0" fontId="51" fillId="64" borderId="3" xfId="0" applyFont="1" applyFill="1" applyBorder="1" applyAlignment="1" applyProtection="1">
      <alignment horizontal="center" vertical="center" wrapText="1"/>
      <protection hidden="1"/>
    </xf>
    <xf numFmtId="0" fontId="51" fillId="64" borderId="101" xfId="0" applyFont="1" applyFill="1" applyBorder="1" applyAlignment="1" applyProtection="1">
      <alignment horizontal="center" vertical="center"/>
      <protection hidden="1"/>
    </xf>
    <xf numFmtId="0" fontId="51" fillId="64" borderId="2" xfId="0" applyFont="1" applyFill="1" applyBorder="1" applyAlignment="1" applyProtection="1">
      <alignment horizontal="center" vertical="center"/>
      <protection hidden="1"/>
    </xf>
    <xf numFmtId="0" fontId="51" fillId="64" borderId="100" xfId="0" applyFont="1" applyFill="1" applyBorder="1" applyAlignment="1" applyProtection="1">
      <alignment horizontal="center" vertical="center"/>
      <protection hidden="1"/>
    </xf>
    <xf numFmtId="0" fontId="51" fillId="64" borderId="104" xfId="0" applyFont="1" applyFill="1" applyBorder="1" applyAlignment="1" applyProtection="1">
      <alignment horizontal="center" vertical="center"/>
      <protection hidden="1"/>
    </xf>
    <xf numFmtId="0" fontId="51" fillId="64" borderId="10" xfId="0" applyFont="1" applyFill="1" applyBorder="1" applyAlignment="1" applyProtection="1">
      <alignment horizontal="center" vertical="center" wrapText="1"/>
      <protection hidden="1"/>
    </xf>
    <xf numFmtId="0" fontId="51" fillId="64" borderId="25" xfId="0" applyFont="1" applyFill="1" applyBorder="1" applyAlignment="1" applyProtection="1">
      <alignment horizontal="center" vertical="center" wrapText="1"/>
      <protection hidden="1"/>
    </xf>
    <xf numFmtId="0" fontId="51" fillId="64" borderId="11" xfId="0" applyFont="1" applyFill="1" applyBorder="1" applyAlignment="1" applyProtection="1">
      <alignment horizontal="center" vertical="center" wrapText="1"/>
      <protection hidden="1"/>
    </xf>
    <xf numFmtId="0" fontId="51" fillId="64" borderId="22" xfId="0" applyFont="1" applyFill="1" applyBorder="1" applyAlignment="1" applyProtection="1">
      <alignment horizontal="center" vertical="center" wrapText="1"/>
      <protection hidden="1"/>
    </xf>
    <xf numFmtId="0" fontId="51" fillId="64" borderId="128" xfId="0" applyFont="1" applyFill="1" applyBorder="1" applyAlignment="1" applyProtection="1">
      <alignment horizontal="center" vertical="center" wrapText="1"/>
      <protection hidden="1"/>
    </xf>
    <xf numFmtId="0" fontId="51" fillId="64" borderId="101" xfId="0" applyFont="1" applyFill="1" applyBorder="1" applyAlignment="1" applyProtection="1">
      <alignment horizontal="center" vertical="center" wrapText="1"/>
      <protection hidden="1"/>
    </xf>
    <xf numFmtId="0" fontId="51" fillId="64" borderId="6" xfId="0" applyFont="1" applyFill="1" applyBorder="1" applyAlignment="1" applyProtection="1">
      <alignment horizontal="center" vertical="center" wrapText="1"/>
      <protection hidden="1"/>
    </xf>
    <xf numFmtId="0" fontId="51" fillId="64" borderId="126" xfId="0" applyFont="1" applyFill="1" applyBorder="1" applyAlignment="1" applyProtection="1">
      <alignment horizontal="center" vertical="center" wrapText="1"/>
      <protection hidden="1"/>
    </xf>
    <xf numFmtId="0" fontId="51" fillId="64" borderId="2" xfId="0" applyFont="1" applyFill="1" applyBorder="1" applyAlignment="1" applyProtection="1">
      <alignment horizontal="center" vertical="center" wrapText="1"/>
      <protection hidden="1"/>
    </xf>
    <xf numFmtId="0" fontId="51" fillId="64" borderId="143" xfId="0" applyFont="1" applyFill="1" applyBorder="1" applyAlignment="1" applyProtection="1">
      <alignment horizontal="center" vertical="center" wrapText="1"/>
      <protection hidden="1"/>
    </xf>
    <xf numFmtId="0" fontId="14" fillId="0" borderId="154" xfId="0" applyFont="1" applyBorder="1" applyAlignment="1" applyProtection="1">
      <alignment horizontal="center" vertical="center"/>
      <protection hidden="1"/>
    </xf>
    <xf numFmtId="0" fontId="14" fillId="0" borderId="133" xfId="0" applyFont="1" applyBorder="1" applyAlignment="1" applyProtection="1">
      <alignment horizontal="center" vertical="center"/>
      <protection hidden="1"/>
    </xf>
    <xf numFmtId="0" fontId="14" fillId="0" borderId="87" xfId="0" applyFont="1" applyBorder="1" applyAlignment="1" applyProtection="1">
      <alignment horizontal="center" vertical="center"/>
      <protection hidden="1"/>
    </xf>
    <xf numFmtId="10" fontId="25" fillId="0" borderId="4" xfId="2" applyNumberFormat="1" applyFont="1" applyBorder="1" applyAlignment="1" applyProtection="1">
      <alignment horizontal="center" vertical="center"/>
      <protection hidden="1"/>
    </xf>
    <xf numFmtId="10" fontId="14" fillId="0" borderId="4" xfId="2" applyNumberFormat="1" applyFont="1" applyBorder="1" applyAlignment="1" applyProtection="1">
      <alignment horizontal="center" vertical="center"/>
      <protection hidden="1"/>
    </xf>
    <xf numFmtId="10" fontId="25" fillId="0" borderId="32" xfId="2" applyNumberFormat="1" applyFont="1" applyBorder="1" applyAlignment="1" applyProtection="1">
      <alignment horizontal="center" vertical="center"/>
      <protection hidden="1"/>
    </xf>
    <xf numFmtId="10" fontId="25" fillId="0" borderId="141" xfId="2" applyNumberFormat="1" applyFont="1" applyBorder="1" applyAlignment="1" applyProtection="1">
      <alignment horizontal="center" vertical="center"/>
      <protection hidden="1"/>
    </xf>
    <xf numFmtId="10" fontId="25" fillId="0" borderId="18" xfId="2" applyNumberFormat="1" applyFont="1" applyBorder="1" applyAlignment="1" applyProtection="1">
      <alignment horizontal="center" vertical="center"/>
      <protection hidden="1"/>
    </xf>
    <xf numFmtId="0" fontId="51" fillId="64" borderId="29" xfId="0" applyFont="1" applyFill="1" applyBorder="1" applyAlignment="1" applyProtection="1">
      <alignment horizontal="center" vertical="center" wrapText="1"/>
      <protection hidden="1"/>
    </xf>
    <xf numFmtId="0" fontId="51" fillId="64" borderId="28" xfId="0" applyFont="1" applyFill="1" applyBorder="1" applyAlignment="1" applyProtection="1">
      <alignment horizontal="center" vertical="center" wrapText="1"/>
      <protection hidden="1"/>
    </xf>
    <xf numFmtId="0" fontId="51" fillId="64" borderId="159" xfId="0" applyFont="1" applyFill="1" applyBorder="1" applyAlignment="1" applyProtection="1">
      <alignment horizontal="center" vertical="center" wrapText="1"/>
      <protection hidden="1"/>
    </xf>
    <xf numFmtId="0" fontId="51" fillId="64" borderId="103" xfId="0" applyFont="1" applyFill="1" applyBorder="1" applyAlignment="1" applyProtection="1">
      <alignment horizontal="center" vertical="center" wrapText="1"/>
      <protection hidden="1"/>
    </xf>
    <xf numFmtId="0" fontId="51" fillId="64" borderId="26" xfId="0" applyFont="1" applyFill="1" applyBorder="1" applyAlignment="1" applyProtection="1">
      <alignment horizontal="center" vertical="center" wrapText="1"/>
      <protection hidden="1"/>
    </xf>
    <xf numFmtId="0" fontId="51" fillId="64" borderId="0" xfId="0" applyFont="1" applyFill="1" applyAlignment="1" applyProtection="1">
      <alignment horizontal="center" vertical="center"/>
      <protection hidden="1"/>
    </xf>
    <xf numFmtId="0" fontId="47" fillId="0" borderId="4" xfId="0" applyFont="1" applyBorder="1" applyAlignment="1" applyProtection="1">
      <alignment horizontal="justify" vertical="center" wrapText="1"/>
      <protection hidden="1"/>
    </xf>
    <xf numFmtId="0" fontId="47" fillId="0" borderId="145" xfId="0" applyFont="1" applyBorder="1" applyAlignment="1" applyProtection="1">
      <alignment horizontal="justify" vertical="center" wrapText="1"/>
      <protection hidden="1"/>
    </xf>
    <xf numFmtId="0" fontId="47" fillId="0" borderId="95" xfId="0" applyFont="1" applyBorder="1" applyAlignment="1" applyProtection="1">
      <alignment horizontal="justify" vertical="center" wrapText="1"/>
      <protection hidden="1"/>
    </xf>
    <xf numFmtId="0" fontId="47" fillId="0" borderId="146" xfId="0" applyFont="1" applyBorder="1" applyAlignment="1" applyProtection="1">
      <alignment horizontal="justify" vertical="center" wrapText="1"/>
      <protection hidden="1"/>
    </xf>
    <xf numFmtId="0" fontId="47" fillId="0" borderId="31" xfId="0" applyFont="1" applyBorder="1" applyAlignment="1" applyProtection="1">
      <alignment horizontal="justify" vertical="center" wrapText="1"/>
      <protection hidden="1"/>
    </xf>
    <xf numFmtId="0" fontId="47" fillId="0" borderId="33" xfId="0" applyFont="1" applyBorder="1" applyAlignment="1" applyProtection="1">
      <alignment horizontal="justify" vertical="center" wrapText="1"/>
      <protection hidden="1"/>
    </xf>
    <xf numFmtId="0" fontId="47" fillId="0" borderId="35" xfId="0" applyFont="1" applyBorder="1" applyAlignment="1" applyProtection="1">
      <alignment horizontal="justify" vertical="center" wrapText="1"/>
      <protection hidden="1"/>
    </xf>
    <xf numFmtId="0" fontId="47" fillId="0" borderId="4" xfId="0" applyFont="1" applyBorder="1" applyAlignment="1">
      <alignment horizontal="left" vertical="center" wrapText="1"/>
    </xf>
    <xf numFmtId="0" fontId="14" fillId="0" borderId="168" xfId="0" applyFont="1" applyBorder="1" applyAlignment="1" applyProtection="1">
      <alignment horizontal="center" vertical="center"/>
      <protection hidden="1"/>
    </xf>
    <xf numFmtId="0" fontId="14" fillId="0" borderId="14" xfId="0" applyFont="1" applyBorder="1" applyAlignment="1" applyProtection="1">
      <alignment horizontal="center" vertical="center"/>
      <protection hidden="1"/>
    </xf>
    <xf numFmtId="0" fontId="110" fillId="0" borderId="166" xfId="0" applyFont="1" applyBorder="1" applyAlignment="1" applyProtection="1">
      <alignment horizontal="center" vertical="center" wrapText="1"/>
      <protection hidden="1"/>
    </xf>
    <xf numFmtId="0" fontId="110" fillId="0" borderId="170" xfId="0" applyFont="1" applyBorder="1" applyAlignment="1" applyProtection="1">
      <alignment horizontal="center" vertical="center" wrapText="1"/>
      <protection hidden="1"/>
    </xf>
    <xf numFmtId="0" fontId="110" fillId="0" borderId="169" xfId="0" applyFont="1" applyBorder="1" applyAlignment="1" applyProtection="1">
      <alignment horizontal="center" vertical="center" wrapText="1"/>
      <protection hidden="1"/>
    </xf>
    <xf numFmtId="0" fontId="110" fillId="0" borderId="31" xfId="0" applyFont="1" applyBorder="1" applyAlignment="1" applyProtection="1">
      <alignment horizontal="center" vertical="center" wrapText="1"/>
      <protection hidden="1"/>
    </xf>
    <xf numFmtId="0" fontId="110" fillId="0" borderId="33" xfId="0" applyFont="1" applyBorder="1" applyAlignment="1" applyProtection="1">
      <alignment horizontal="center" vertical="center" wrapText="1"/>
      <protection hidden="1"/>
    </xf>
    <xf numFmtId="0" fontId="110" fillId="0" borderId="35" xfId="0" applyFont="1" applyBorder="1" applyAlignment="1" applyProtection="1">
      <alignment horizontal="center" vertical="center" wrapText="1"/>
      <protection hidden="1"/>
    </xf>
    <xf numFmtId="177" fontId="0" fillId="0" borderId="9" xfId="17" applyNumberFormat="1" applyFont="1" applyBorder="1" applyAlignment="1" applyProtection="1">
      <alignment horizontal="justify" vertical="center"/>
      <protection locked="0"/>
    </xf>
    <xf numFmtId="177" fontId="0" fillId="0" borderId="21" xfId="17" applyNumberFormat="1" applyFont="1" applyBorder="1" applyAlignment="1" applyProtection="1">
      <alignment horizontal="justify" vertical="center"/>
      <protection locked="0"/>
    </xf>
    <xf numFmtId="0" fontId="175" fillId="0" borderId="9" xfId="0" applyFont="1" applyBorder="1" applyAlignment="1" applyProtection="1">
      <alignment horizontal="center" vertical="center"/>
      <protection locked="0"/>
    </xf>
    <xf numFmtId="0" fontId="175" fillId="0" borderId="21" xfId="0" applyFont="1" applyBorder="1" applyAlignment="1" applyProtection="1">
      <alignment horizontal="center" vertical="center"/>
      <protection locked="0"/>
    </xf>
    <xf numFmtId="9" fontId="0" fillId="0" borderId="4" xfId="2" applyFont="1" applyFill="1" applyBorder="1" applyAlignment="1" applyProtection="1">
      <alignment horizontal="center"/>
      <protection locked="0"/>
    </xf>
    <xf numFmtId="0" fontId="0" fillId="0" borderId="4" xfId="0" applyBorder="1" applyAlignment="1" applyProtection="1">
      <alignment horizontal="center"/>
      <protection locked="0"/>
    </xf>
    <xf numFmtId="0" fontId="59" fillId="25" borderId="4" xfId="0" applyFont="1" applyFill="1" applyBorder="1" applyAlignment="1" applyProtection="1">
      <alignment horizontal="center"/>
      <protection hidden="1"/>
    </xf>
    <xf numFmtId="0" fontId="0" fillId="0" borderId="4" xfId="0" applyBorder="1" applyAlignment="1" applyProtection="1">
      <alignment horizontal="justify" vertical="center" wrapText="1"/>
      <protection hidden="1"/>
    </xf>
    <xf numFmtId="0" fontId="59" fillId="25" borderId="9" xfId="0" applyFont="1" applyFill="1" applyBorder="1" applyAlignment="1" applyProtection="1">
      <alignment horizontal="center" vertical="center"/>
      <protection hidden="1"/>
    </xf>
    <xf numFmtId="0" fontId="59" fillId="25" borderId="21" xfId="0" applyFont="1" applyFill="1" applyBorder="1" applyAlignment="1" applyProtection="1">
      <alignment horizontal="center" vertical="center"/>
      <protection hidden="1"/>
    </xf>
    <xf numFmtId="0" fontId="94" fillId="25" borderId="9" xfId="0" applyFont="1" applyFill="1" applyBorder="1" applyAlignment="1" applyProtection="1">
      <alignment horizontal="center" vertical="center"/>
      <protection hidden="1"/>
    </xf>
    <xf numFmtId="0" fontId="94" fillId="25" borderId="21" xfId="0" applyFont="1" applyFill="1" applyBorder="1" applyAlignment="1" applyProtection="1">
      <alignment horizontal="center" vertical="center"/>
      <protection hidden="1"/>
    </xf>
    <xf numFmtId="9" fontId="0" fillId="0" borderId="9" xfId="2" applyFont="1" applyFill="1" applyBorder="1" applyAlignment="1" applyProtection="1">
      <alignment horizontal="center"/>
      <protection locked="0"/>
    </xf>
    <xf numFmtId="9" fontId="0" fillId="0" borderId="21" xfId="2" applyFont="1" applyFill="1" applyBorder="1" applyAlignment="1" applyProtection="1">
      <alignment horizontal="center"/>
      <protection locked="0"/>
    </xf>
    <xf numFmtId="0" fontId="0" fillId="0" borderId="9" xfId="0" applyBorder="1" applyAlignment="1" applyProtection="1">
      <alignment horizontal="center"/>
      <protection locked="0"/>
    </xf>
    <xf numFmtId="0" fontId="0" fillId="0" borderId="21" xfId="0" applyBorder="1" applyAlignment="1" applyProtection="1">
      <alignment horizontal="center"/>
      <protection locked="0"/>
    </xf>
    <xf numFmtId="0" fontId="0" fillId="0" borderId="9" xfId="0" applyBorder="1" applyAlignment="1">
      <alignment horizontal="center"/>
    </xf>
    <xf numFmtId="0" fontId="0" fillId="0" borderId="21" xfId="0" applyBorder="1" applyAlignment="1">
      <alignment horizontal="center"/>
    </xf>
    <xf numFmtId="0" fontId="59" fillId="25" borderId="94" xfId="0" applyFont="1" applyFill="1" applyBorder="1" applyAlignment="1">
      <alignment horizontal="center" vertical="center"/>
    </xf>
    <xf numFmtId="0" fontId="59" fillId="25" borderId="95" xfId="0" applyFont="1" applyFill="1" applyBorder="1" applyAlignment="1">
      <alignment horizontal="center" vertical="center"/>
    </xf>
    <xf numFmtId="0" fontId="59" fillId="25" borderId="96" xfId="0" applyFont="1" applyFill="1" applyBorder="1" applyAlignment="1">
      <alignment horizontal="center" vertical="center"/>
    </xf>
    <xf numFmtId="0" fontId="59" fillId="25" borderId="9" xfId="0" applyFont="1" applyFill="1" applyBorder="1" applyAlignment="1">
      <alignment horizontal="center" vertical="center"/>
    </xf>
    <xf numFmtId="0" fontId="59" fillId="25" borderId="21" xfId="0" applyFont="1" applyFill="1" applyBorder="1" applyAlignment="1">
      <alignment horizontal="center" vertical="center"/>
    </xf>
    <xf numFmtId="0" fontId="0" fillId="0" borderId="9" xfId="0" applyBorder="1" applyAlignment="1" applyProtection="1">
      <alignment horizontal="justify" vertical="center" wrapText="1"/>
      <protection hidden="1"/>
    </xf>
    <xf numFmtId="0" fontId="0" fillId="0" borderId="13" xfId="0" applyBorder="1" applyAlignment="1" applyProtection="1">
      <alignment horizontal="justify" vertical="center" wrapText="1"/>
      <protection hidden="1"/>
    </xf>
    <xf numFmtId="0" fontId="0" fillId="0" borderId="21" xfId="0" applyBorder="1" applyAlignment="1" applyProtection="1">
      <alignment horizontal="justify" vertical="center" wrapText="1"/>
      <protection hidden="1"/>
    </xf>
    <xf numFmtId="0" fontId="59" fillId="25" borderId="31" xfId="0" applyFont="1" applyFill="1" applyBorder="1" applyAlignment="1" applyProtection="1">
      <alignment horizontal="center"/>
      <protection hidden="1"/>
    </xf>
    <xf numFmtId="0" fontId="59" fillId="25" borderId="33" xfId="0" applyFont="1" applyFill="1" applyBorder="1" applyAlignment="1" applyProtection="1">
      <alignment horizontal="center"/>
      <protection hidden="1"/>
    </xf>
    <xf numFmtId="0" fontId="59" fillId="25" borderId="35" xfId="0" applyFont="1" applyFill="1" applyBorder="1" applyAlignment="1" applyProtection="1">
      <alignment horizontal="center"/>
      <protection hidden="1"/>
    </xf>
    <xf numFmtId="0" fontId="58" fillId="0" borderId="0" xfId="0" applyFont="1" applyAlignment="1" applyProtection="1">
      <alignment horizontal="center" vertical="center" wrapText="1"/>
      <protection hidden="1"/>
    </xf>
    <xf numFmtId="0" fontId="94" fillId="0" borderId="45" xfId="0" applyFont="1" applyBorder="1" applyAlignment="1" applyProtection="1">
      <alignment horizontal="center" vertical="center"/>
      <protection hidden="1"/>
    </xf>
    <xf numFmtId="0" fontId="94" fillId="0" borderId="0" xfId="0" applyFont="1" applyAlignment="1" applyProtection="1">
      <alignment horizontal="center" vertical="center"/>
      <protection hidden="1"/>
    </xf>
    <xf numFmtId="9" fontId="94" fillId="0" borderId="0" xfId="0" applyNumberFormat="1" applyFont="1" applyAlignment="1" applyProtection="1">
      <alignment horizontal="center" vertical="center"/>
      <protection hidden="1"/>
    </xf>
    <xf numFmtId="43" fontId="0" fillId="6" borderId="93" xfId="18" applyFont="1" applyFill="1" applyBorder="1" applyAlignment="1" applyProtection="1">
      <alignment horizontal="center" vertical="center"/>
      <protection hidden="1"/>
    </xf>
    <xf numFmtId="43" fontId="0" fillId="6" borderId="14" xfId="18" applyFont="1" applyFill="1" applyBorder="1" applyAlignment="1" applyProtection="1">
      <alignment horizontal="center" vertical="center"/>
      <protection hidden="1"/>
    </xf>
    <xf numFmtId="43" fontId="0" fillId="12" borderId="93" xfId="18" applyFont="1" applyFill="1" applyBorder="1" applyAlignment="1" applyProtection="1">
      <alignment horizontal="center" vertical="center"/>
      <protection hidden="1"/>
    </xf>
    <xf numFmtId="43" fontId="0" fillId="12" borderId="14" xfId="18" applyFont="1" applyFill="1" applyBorder="1" applyAlignment="1" applyProtection="1">
      <alignment horizontal="center" vertical="center"/>
      <protection hidden="1"/>
    </xf>
    <xf numFmtId="0" fontId="94" fillId="0" borderId="0" xfId="0" applyFont="1" applyAlignment="1" applyProtection="1">
      <alignment horizontal="center" vertical="center" wrapText="1"/>
      <protection hidden="1"/>
    </xf>
    <xf numFmtId="0" fontId="94" fillId="13" borderId="0" xfId="0" applyFont="1" applyFill="1" applyAlignment="1" applyProtection="1">
      <alignment horizontal="center" vertical="center" wrapText="1"/>
      <protection hidden="1"/>
    </xf>
    <xf numFmtId="0" fontId="58" fillId="13" borderId="0" xfId="0" applyFont="1" applyFill="1" applyAlignment="1" applyProtection="1">
      <alignment horizontal="center" vertical="center" wrapText="1"/>
      <protection hidden="1"/>
    </xf>
    <xf numFmtId="0" fontId="94" fillId="13" borderId="45" xfId="0" applyFont="1" applyFill="1" applyBorder="1" applyAlignment="1" applyProtection="1">
      <alignment horizontal="center" vertical="center"/>
      <protection hidden="1"/>
    </xf>
    <xf numFmtId="0" fontId="94" fillId="13" borderId="0" xfId="0" applyFont="1" applyFill="1" applyAlignment="1" applyProtection="1">
      <alignment horizontal="center" vertical="center"/>
      <protection hidden="1"/>
    </xf>
    <xf numFmtId="9" fontId="94" fillId="13" borderId="0" xfId="0" applyNumberFormat="1" applyFont="1" applyFill="1" applyAlignment="1" applyProtection="1">
      <alignment horizontal="center" vertical="center"/>
      <protection hidden="1"/>
    </xf>
    <xf numFmtId="0" fontId="91" fillId="0" borderId="9" xfId="0" applyFont="1" applyBorder="1" applyAlignment="1" applyProtection="1">
      <alignment horizontal="center" vertical="center"/>
      <protection hidden="1"/>
    </xf>
    <xf numFmtId="0" fontId="91" fillId="0" borderId="21" xfId="0" applyFont="1" applyBorder="1" applyAlignment="1" applyProtection="1">
      <alignment horizontal="center" vertical="center"/>
      <protection hidden="1"/>
    </xf>
    <xf numFmtId="0" fontId="88" fillId="25" borderId="9" xfId="0" applyFont="1" applyFill="1" applyBorder="1" applyAlignment="1" applyProtection="1">
      <alignment horizontal="center" vertical="center"/>
      <protection locked="0"/>
    </xf>
    <xf numFmtId="0" fontId="88" fillId="25" borderId="21" xfId="0" applyFont="1" applyFill="1" applyBorder="1" applyAlignment="1" applyProtection="1">
      <alignment horizontal="center" vertical="center"/>
      <protection locked="0"/>
    </xf>
    <xf numFmtId="0" fontId="102" fillId="20" borderId="9" xfId="0" applyFont="1" applyFill="1" applyBorder="1" applyAlignment="1" applyProtection="1">
      <alignment horizontal="left" vertical="center" wrapText="1"/>
      <protection hidden="1"/>
    </xf>
    <xf numFmtId="0" fontId="94" fillId="20" borderId="13" xfId="0" applyFont="1" applyFill="1" applyBorder="1" applyAlignment="1" applyProtection="1">
      <alignment horizontal="left" vertical="center" wrapText="1"/>
      <protection hidden="1"/>
    </xf>
    <xf numFmtId="0" fontId="94" fillId="20" borderId="21" xfId="0" applyFont="1" applyFill="1" applyBorder="1" applyAlignment="1" applyProtection="1">
      <alignment horizontal="left" vertical="center" wrapText="1"/>
      <protection hidden="1"/>
    </xf>
    <xf numFmtId="0" fontId="78" fillId="25" borderId="9" xfId="0" applyFont="1" applyFill="1" applyBorder="1" applyAlignment="1" applyProtection="1">
      <alignment horizontal="center" vertical="center"/>
      <protection hidden="1"/>
    </xf>
    <xf numFmtId="0" fontId="78" fillId="25" borderId="13" xfId="0" applyFont="1" applyFill="1" applyBorder="1" applyAlignment="1" applyProtection="1">
      <alignment horizontal="center" vertical="center"/>
      <protection hidden="1"/>
    </xf>
    <xf numFmtId="0" fontId="78" fillId="25" borderId="21" xfId="0" applyFont="1" applyFill="1" applyBorder="1" applyAlignment="1" applyProtection="1">
      <alignment horizontal="center" vertical="center"/>
      <protection hidden="1"/>
    </xf>
    <xf numFmtId="0" fontId="78" fillId="0" borderId="0" xfId="0" applyFont="1" applyAlignment="1" applyProtection="1">
      <alignment horizontal="center" vertical="center"/>
      <protection hidden="1"/>
    </xf>
    <xf numFmtId="0" fontId="72" fillId="9" borderId="0" xfId="0" applyFont="1" applyFill="1" applyAlignment="1" applyProtection="1">
      <alignment horizontal="center" vertical="center"/>
      <protection hidden="1"/>
    </xf>
    <xf numFmtId="0" fontId="78" fillId="13" borderId="0" xfId="0" applyFont="1" applyFill="1" applyAlignment="1" applyProtection="1">
      <alignment horizontal="center" vertical="center"/>
      <protection hidden="1"/>
    </xf>
    <xf numFmtId="0" fontId="59" fillId="0" borderId="0" xfId="0" applyFont="1" applyAlignment="1" applyProtection="1">
      <alignment horizontal="center" vertical="center"/>
      <protection hidden="1"/>
    </xf>
    <xf numFmtId="0" fontId="22" fillId="0" borderId="54" xfId="0" applyFont="1" applyBorder="1" applyAlignment="1" applyProtection="1">
      <alignment horizontal="center" vertical="center"/>
      <protection hidden="1"/>
    </xf>
    <xf numFmtId="0" fontId="161" fillId="64" borderId="33" xfId="0" applyFont="1" applyFill="1" applyBorder="1" applyAlignment="1">
      <alignment horizontal="center" vertical="center"/>
    </xf>
    <xf numFmtId="0" fontId="25" fillId="0" borderId="0" xfId="0" applyFont="1" applyAlignment="1">
      <alignment horizontal="right" vertical="center"/>
    </xf>
    <xf numFmtId="0" fontId="25" fillId="0" borderId="26" xfId="0" applyFont="1" applyBorder="1" applyAlignment="1">
      <alignment horizontal="right" vertical="center"/>
    </xf>
    <xf numFmtId="0" fontId="117" fillId="0" borderId="27" xfId="5" applyFont="1" applyBorder="1" applyAlignment="1">
      <alignment horizontal="left" vertical="center" wrapText="1"/>
    </xf>
    <xf numFmtId="0" fontId="117" fillId="0" borderId="133" xfId="5" applyFont="1" applyBorder="1" applyAlignment="1">
      <alignment horizontal="left" vertical="center" wrapText="1"/>
    </xf>
    <xf numFmtId="0" fontId="117" fillId="0" borderId="48" xfId="5" applyFont="1" applyBorder="1" applyAlignment="1">
      <alignment horizontal="left" vertical="center" wrapText="1"/>
    </xf>
    <xf numFmtId="0" fontId="117" fillId="0" borderId="95" xfId="5" applyFont="1" applyBorder="1" applyAlignment="1">
      <alignment horizontal="left" vertical="center" wrapText="1"/>
    </xf>
    <xf numFmtId="0" fontId="160" fillId="64" borderId="103" xfId="0" applyFont="1" applyFill="1" applyBorder="1" applyAlignment="1" applyProtection="1">
      <alignment horizontal="center" vertical="center"/>
      <protection locked="0"/>
    </xf>
    <xf numFmtId="0" fontId="160" fillId="64" borderId="0" xfId="0" applyFont="1" applyFill="1" applyAlignment="1" applyProtection="1">
      <alignment horizontal="center" vertical="center"/>
      <protection locked="0"/>
    </xf>
    <xf numFmtId="0" fontId="160" fillId="64" borderId="26" xfId="0" applyFont="1" applyFill="1" applyBorder="1" applyAlignment="1" applyProtection="1">
      <alignment horizontal="center" vertical="center"/>
      <protection locked="0"/>
    </xf>
    <xf numFmtId="0" fontId="51" fillId="64" borderId="128" xfId="0" applyFont="1" applyFill="1" applyBorder="1" applyAlignment="1">
      <alignment horizontal="center" vertical="center" wrapText="1"/>
    </xf>
    <xf numFmtId="0" fontId="51" fillId="64" borderId="6" xfId="0" applyFont="1" applyFill="1" applyBorder="1" applyAlignment="1">
      <alignment horizontal="center" vertical="center" wrapText="1"/>
    </xf>
    <xf numFmtId="0" fontId="158" fillId="64" borderId="0" xfId="0" applyFont="1" applyFill="1" applyAlignment="1" applyProtection="1">
      <alignment horizontal="center" vertical="center"/>
      <protection hidden="1"/>
    </xf>
    <xf numFmtId="0" fontId="25" fillId="0" borderId="0" xfId="0" applyFont="1" applyAlignment="1" applyProtection="1">
      <alignment horizontal="left" vertical="center"/>
      <protection hidden="1"/>
    </xf>
    <xf numFmtId="0" fontId="14" fillId="0" borderId="13" xfId="0" applyFont="1" applyBorder="1" applyAlignment="1" applyProtection="1">
      <alignment horizontal="left" vertical="center"/>
      <protection hidden="1"/>
    </xf>
    <xf numFmtId="0" fontId="47" fillId="0" borderId="0" xfId="33" applyFont="1" applyFill="1" applyBorder="1" applyAlignment="1">
      <alignment horizontal="center" vertical="center" wrapText="1"/>
    </xf>
    <xf numFmtId="0" fontId="19" fillId="0" borderId="0" xfId="0" applyFont="1" applyAlignment="1" applyProtection="1">
      <alignment horizontal="center" vertical="center"/>
      <protection hidden="1"/>
    </xf>
    <xf numFmtId="0" fontId="157" fillId="0" borderId="0" xfId="0" applyFont="1" applyAlignment="1" applyProtection="1">
      <alignment horizontal="center" vertical="center"/>
      <protection hidden="1"/>
    </xf>
    <xf numFmtId="0" fontId="25" fillId="0" borderId="0" xfId="0" applyFont="1" applyAlignment="1" applyProtection="1">
      <alignment horizontal="left" vertical="center" wrapText="1"/>
      <protection hidden="1"/>
    </xf>
    <xf numFmtId="0" fontId="14" fillId="0" borderId="0" xfId="0" applyFont="1" applyAlignment="1" applyProtection="1">
      <alignment horizontal="center" vertical="center"/>
      <protection hidden="1"/>
    </xf>
    <xf numFmtId="0" fontId="73" fillId="0" borderId="166" xfId="0" applyFont="1" applyBorder="1" applyAlignment="1" applyProtection="1">
      <alignment horizontal="center" vertical="center" wrapText="1"/>
      <protection hidden="1"/>
    </xf>
    <xf numFmtId="0" fontId="73" fillId="0" borderId="170" xfId="0" applyFont="1" applyBorder="1" applyAlignment="1" applyProtection="1">
      <alignment horizontal="center" vertical="center" wrapText="1"/>
      <protection hidden="1"/>
    </xf>
    <xf numFmtId="0" fontId="73" fillId="0" borderId="169" xfId="0" applyFont="1" applyBorder="1" applyAlignment="1" applyProtection="1">
      <alignment horizontal="center" vertical="center" wrapText="1"/>
      <protection hidden="1"/>
    </xf>
    <xf numFmtId="0" fontId="73" fillId="0" borderId="31" xfId="0" applyFont="1" applyBorder="1" applyAlignment="1" applyProtection="1">
      <alignment horizontal="center" vertical="center" wrapText="1"/>
      <protection hidden="1"/>
    </xf>
    <xf numFmtId="0" fontId="73" fillId="0" borderId="33" xfId="0" applyFont="1" applyBorder="1" applyAlignment="1" applyProtection="1">
      <alignment horizontal="center" vertical="center" wrapText="1"/>
      <protection hidden="1"/>
    </xf>
    <xf numFmtId="0" fontId="73" fillId="0" borderId="35" xfId="0" applyFont="1" applyBorder="1" applyAlignment="1" applyProtection="1">
      <alignment horizontal="center" vertical="center" wrapText="1"/>
      <protection hidden="1"/>
    </xf>
    <xf numFmtId="0" fontId="25" fillId="0" borderId="0" xfId="0" applyFont="1" applyAlignment="1">
      <alignment horizontal="center"/>
    </xf>
    <xf numFmtId="0" fontId="0" fillId="0" borderId="0" xfId="0" applyAlignment="1">
      <alignment horizontal="left" vertical="top" wrapText="1"/>
    </xf>
    <xf numFmtId="0" fontId="14" fillId="0" borderId="159" xfId="0" applyFont="1" applyBorder="1" applyAlignment="1" applyProtection="1">
      <alignment horizontal="center" vertical="center"/>
      <protection hidden="1"/>
    </xf>
    <xf numFmtId="0" fontId="12" fillId="9" borderId="0" xfId="0" applyFont="1" applyFill="1" applyAlignment="1">
      <alignment horizontal="center" vertical="center"/>
    </xf>
    <xf numFmtId="170" fontId="25" fillId="9" borderId="4" xfId="2" applyNumberFormat="1" applyFont="1" applyFill="1" applyBorder="1" applyAlignment="1" applyProtection="1">
      <alignment horizontal="center" vertical="center" wrapText="1"/>
      <protection hidden="1"/>
    </xf>
    <xf numFmtId="41" fontId="47" fillId="9" borderId="4" xfId="0" applyNumberFormat="1" applyFont="1" applyFill="1" applyBorder="1" applyAlignment="1" applyProtection="1">
      <alignment horizontal="left"/>
      <protection hidden="1"/>
    </xf>
    <xf numFmtId="14" fontId="47" fillId="9" borderId="4" xfId="0" applyNumberFormat="1" applyFont="1" applyFill="1" applyBorder="1" applyAlignment="1" applyProtection="1">
      <alignment horizontal="left"/>
      <protection hidden="1"/>
    </xf>
    <xf numFmtId="14" fontId="47" fillId="9" borderId="4" xfId="0" applyNumberFormat="1" applyFont="1" applyFill="1" applyBorder="1" applyAlignment="1" applyProtection="1">
      <alignment horizontal="justify"/>
      <protection hidden="1"/>
    </xf>
    <xf numFmtId="0" fontId="19" fillId="9" borderId="4" xfId="0" applyFont="1" applyFill="1" applyBorder="1" applyAlignment="1" applyProtection="1">
      <alignment horizontal="center" vertical="center"/>
      <protection hidden="1"/>
    </xf>
    <xf numFmtId="0" fontId="110" fillId="5" borderId="4" xfId="5" applyFont="1" applyFill="1" applyBorder="1" applyAlignment="1" applyProtection="1">
      <alignment horizontal="center" vertical="center" wrapText="1"/>
      <protection hidden="1"/>
    </xf>
    <xf numFmtId="2" fontId="35" fillId="46" borderId="109" xfId="0" applyNumberFormat="1" applyFont="1" applyFill="1" applyBorder="1" applyAlignment="1" applyProtection="1">
      <alignment horizontal="center" vertical="center" wrapText="1"/>
      <protection hidden="1"/>
    </xf>
    <xf numFmtId="2" fontId="35" fillId="46" borderId="111" xfId="0" applyNumberFormat="1" applyFont="1" applyFill="1" applyBorder="1" applyAlignment="1" applyProtection="1">
      <alignment horizontal="center" vertical="center" wrapText="1"/>
      <protection hidden="1"/>
    </xf>
    <xf numFmtId="0" fontId="35" fillId="46" borderId="106" xfId="0" applyFont="1" applyFill="1" applyBorder="1" applyAlignment="1" applyProtection="1">
      <alignment horizontal="center" vertical="center" wrapText="1"/>
      <protection hidden="1"/>
    </xf>
    <xf numFmtId="0" fontId="35" fillId="46" borderId="156" xfId="0" applyFont="1" applyFill="1" applyBorder="1" applyAlignment="1" applyProtection="1">
      <alignment horizontal="center" vertical="center" wrapText="1"/>
      <protection hidden="1"/>
    </xf>
    <xf numFmtId="0" fontId="35" fillId="46" borderId="108" xfId="0" applyFont="1" applyFill="1" applyBorder="1" applyAlignment="1" applyProtection="1">
      <alignment horizontal="center" vertical="center" wrapText="1"/>
      <protection hidden="1"/>
    </xf>
    <xf numFmtId="0" fontId="35" fillId="46" borderId="110" xfId="0" applyFont="1" applyFill="1" applyBorder="1" applyAlignment="1" applyProtection="1">
      <alignment horizontal="center" vertical="center" wrapText="1"/>
      <protection hidden="1"/>
    </xf>
    <xf numFmtId="179" fontId="14" fillId="9" borderId="9" xfId="0" applyNumberFormat="1" applyFont="1" applyFill="1" applyBorder="1" applyAlignment="1">
      <alignment horizontal="center" vertical="center"/>
    </xf>
    <xf numFmtId="179" fontId="14" fillId="9" borderId="21" xfId="0" applyNumberFormat="1" applyFont="1" applyFill="1" applyBorder="1" applyAlignment="1">
      <alignment horizontal="center" vertical="center"/>
    </xf>
    <xf numFmtId="0" fontId="19" fillId="46" borderId="4" xfId="0" applyFont="1" applyFill="1" applyBorder="1" applyAlignment="1">
      <alignment horizontal="center" vertical="center" wrapText="1"/>
    </xf>
    <xf numFmtId="170" fontId="25" fillId="67" borderId="4" xfId="2" applyNumberFormat="1" applyFont="1" applyFill="1" applyBorder="1" applyAlignment="1" applyProtection="1">
      <alignment horizontal="center" vertical="center" wrapText="1"/>
      <protection hidden="1"/>
    </xf>
    <xf numFmtId="170" fontId="25" fillId="67" borderId="4" xfId="2" applyNumberFormat="1" applyFont="1" applyFill="1" applyBorder="1" applyAlignment="1" applyProtection="1">
      <alignment horizontal="left" vertical="center" wrapText="1"/>
      <protection hidden="1"/>
    </xf>
    <xf numFmtId="170" fontId="25" fillId="67" borderId="159" xfId="2" applyNumberFormat="1" applyFont="1" applyFill="1" applyBorder="1" applyAlignment="1" applyProtection="1">
      <alignment horizontal="left" vertical="center" wrapText="1"/>
      <protection hidden="1"/>
    </xf>
    <xf numFmtId="170" fontId="25" fillId="67" borderId="24" xfId="2" applyNumberFormat="1" applyFont="1" applyFill="1" applyBorder="1" applyAlignment="1" applyProtection="1">
      <alignment horizontal="left" vertical="center" wrapText="1"/>
      <protection hidden="1"/>
    </xf>
    <xf numFmtId="170" fontId="25" fillId="67" borderId="14" xfId="2" applyNumberFormat="1" applyFont="1" applyFill="1" applyBorder="1" applyAlignment="1" applyProtection="1">
      <alignment horizontal="left" vertical="center" wrapText="1"/>
      <protection hidden="1"/>
    </xf>
    <xf numFmtId="170" fontId="25" fillId="67" borderId="157" xfId="2" applyNumberFormat="1" applyFont="1" applyFill="1" applyBorder="1" applyAlignment="1" applyProtection="1">
      <alignment horizontal="center" vertical="center" wrapText="1"/>
      <protection hidden="1"/>
    </xf>
    <xf numFmtId="170" fontId="25" fillId="67" borderId="158" xfId="2" applyNumberFormat="1" applyFont="1" applyFill="1" applyBorder="1" applyAlignment="1" applyProtection="1">
      <alignment horizontal="center" vertical="center" wrapText="1"/>
      <protection hidden="1"/>
    </xf>
    <xf numFmtId="170" fontId="25" fillId="67" borderId="45" xfId="2" applyNumberFormat="1" applyFont="1" applyFill="1" applyBorder="1" applyAlignment="1" applyProtection="1">
      <alignment horizontal="center" vertical="center" wrapText="1"/>
      <protection hidden="1"/>
    </xf>
    <xf numFmtId="170" fontId="25" fillId="67" borderId="46" xfId="2" applyNumberFormat="1" applyFont="1" applyFill="1" applyBorder="1" applyAlignment="1" applyProtection="1">
      <alignment horizontal="center" vertical="center" wrapText="1"/>
      <protection hidden="1"/>
    </xf>
    <xf numFmtId="170" fontId="25" fillId="67" borderId="31" xfId="2" applyNumberFormat="1" applyFont="1" applyFill="1" applyBorder="1" applyAlignment="1" applyProtection="1">
      <alignment horizontal="center" vertical="center" wrapText="1"/>
      <protection hidden="1"/>
    </xf>
    <xf numFmtId="170" fontId="25" fillId="67" borderId="35" xfId="2" applyNumberFormat="1" applyFont="1" applyFill="1" applyBorder="1" applyAlignment="1" applyProtection="1">
      <alignment horizontal="center" vertical="center" wrapText="1"/>
      <protection hidden="1"/>
    </xf>
    <xf numFmtId="170" fontId="25" fillId="67" borderId="157" xfId="2" applyNumberFormat="1" applyFont="1" applyFill="1" applyBorder="1" applyAlignment="1" applyProtection="1">
      <alignment horizontal="left" vertical="center" wrapText="1"/>
      <protection hidden="1"/>
    </xf>
    <xf numFmtId="170" fontId="25" fillId="67" borderId="160" xfId="2" applyNumberFormat="1" applyFont="1" applyFill="1" applyBorder="1" applyAlignment="1" applyProtection="1">
      <alignment horizontal="left" vertical="center" wrapText="1"/>
      <protection hidden="1"/>
    </xf>
    <xf numFmtId="0" fontId="74" fillId="46" borderId="107" xfId="0" applyFont="1" applyFill="1" applyBorder="1" applyAlignment="1" applyProtection="1">
      <alignment horizontal="center" vertical="center" wrapText="1"/>
      <protection hidden="1"/>
    </xf>
    <xf numFmtId="0" fontId="74" fillId="46" borderId="111" xfId="0" applyFont="1" applyFill="1" applyBorder="1" applyAlignment="1" applyProtection="1">
      <alignment horizontal="center" vertical="center" wrapText="1"/>
      <protection hidden="1"/>
    </xf>
    <xf numFmtId="2" fontId="74" fillId="46" borderId="109" xfId="0" applyNumberFormat="1" applyFont="1" applyFill="1" applyBorder="1" applyAlignment="1" applyProtection="1">
      <alignment horizontal="center" vertical="center" wrapText="1"/>
      <protection hidden="1"/>
    </xf>
    <xf numFmtId="2" fontId="74" fillId="46" borderId="111" xfId="0" applyNumberFormat="1" applyFont="1" applyFill="1" applyBorder="1" applyAlignment="1" applyProtection="1">
      <alignment horizontal="center" vertical="center" wrapText="1"/>
      <protection hidden="1"/>
    </xf>
    <xf numFmtId="0" fontId="25" fillId="0" borderId="9" xfId="0" applyFont="1" applyBorder="1" applyAlignment="1" applyProtection="1">
      <alignment horizontal="center" vertical="center"/>
      <protection locked="0"/>
    </xf>
    <xf numFmtId="0" fontId="25" fillId="0" borderId="13" xfId="0" applyFont="1" applyBorder="1" applyAlignment="1" applyProtection="1">
      <alignment horizontal="center" vertical="center"/>
      <protection locked="0"/>
    </xf>
    <xf numFmtId="0" fontId="19" fillId="20" borderId="4" xfId="0" applyFont="1" applyFill="1" applyBorder="1" applyAlignment="1">
      <alignment horizontal="center" vertical="center" wrapText="1"/>
    </xf>
    <xf numFmtId="180" fontId="35" fillId="46" borderId="109" xfId="18" applyNumberFormat="1" applyFont="1" applyFill="1" applyBorder="1" applyAlignment="1" applyProtection="1">
      <alignment horizontal="center" vertical="center" wrapText="1"/>
      <protection hidden="1"/>
    </xf>
    <xf numFmtId="180" fontId="35" fillId="46" borderId="111" xfId="18" applyNumberFormat="1" applyFont="1" applyFill="1" applyBorder="1" applyAlignment="1" applyProtection="1">
      <alignment horizontal="center" vertical="center" wrapText="1"/>
      <protection hidden="1"/>
    </xf>
    <xf numFmtId="9" fontId="25" fillId="33" borderId="9" xfId="2" applyFont="1" applyFill="1" applyBorder="1" applyAlignment="1" applyProtection="1">
      <alignment horizontal="center" vertical="center" wrapText="1"/>
      <protection hidden="1"/>
    </xf>
    <xf numFmtId="9" fontId="25" fillId="33" borderId="21" xfId="2" applyFont="1" applyFill="1" applyBorder="1" applyAlignment="1" applyProtection="1">
      <alignment horizontal="center" vertical="center" wrapText="1"/>
      <protection hidden="1"/>
    </xf>
    <xf numFmtId="0" fontId="35" fillId="46" borderId="105" xfId="0" applyFont="1" applyFill="1" applyBorder="1" applyAlignment="1" applyProtection="1">
      <alignment horizontal="center" vertical="center" wrapText="1"/>
      <protection hidden="1"/>
    </xf>
    <xf numFmtId="9" fontId="25" fillId="33" borderId="4" xfId="2" applyFont="1" applyFill="1" applyBorder="1" applyAlignment="1" applyProtection="1">
      <alignment horizontal="center" vertical="center" wrapText="1"/>
      <protection hidden="1"/>
    </xf>
    <xf numFmtId="0" fontId="10" fillId="55" borderId="150" xfId="9" applyFont="1" applyFill="1" applyBorder="1" applyAlignment="1">
      <alignment horizontal="center" vertical="center"/>
    </xf>
    <xf numFmtId="0" fontId="10" fillId="55" borderId="151" xfId="9" applyFont="1" applyFill="1" applyBorder="1" applyAlignment="1">
      <alignment horizontal="center" vertical="center"/>
    </xf>
    <xf numFmtId="0" fontId="10" fillId="55" borderId="152" xfId="9" applyFont="1" applyFill="1" applyBorder="1" applyAlignment="1">
      <alignment horizontal="center" vertical="center"/>
    </xf>
    <xf numFmtId="0" fontId="0" fillId="0" borderId="168" xfId="0" applyBorder="1" applyAlignment="1">
      <alignment horizontal="center" vertical="center"/>
    </xf>
    <xf numFmtId="0" fontId="0" fillId="0" borderId="14" xfId="0" applyBorder="1" applyAlignment="1">
      <alignment horizontal="center" vertical="center"/>
    </xf>
    <xf numFmtId="0" fontId="47" fillId="0" borderId="9" xfId="0" applyFont="1" applyBorder="1" applyAlignment="1" applyProtection="1">
      <alignment horizontal="left" vertical="center" wrapText="1"/>
      <protection locked="0" hidden="1"/>
    </xf>
    <xf numFmtId="0" fontId="47" fillId="0" borderId="21" xfId="0" applyFont="1" applyBorder="1" applyAlignment="1" applyProtection="1">
      <alignment horizontal="left" vertical="center" wrapText="1"/>
      <protection locked="0" hidden="1"/>
    </xf>
    <xf numFmtId="0" fontId="47" fillId="0" borderId="9" xfId="0" applyFont="1" applyBorder="1" applyAlignment="1" applyProtection="1">
      <alignment horizontal="left" vertical="center"/>
      <protection hidden="1"/>
    </xf>
    <xf numFmtId="0" fontId="47" fillId="0" borderId="21" xfId="0" applyFont="1" applyBorder="1" applyAlignment="1" applyProtection="1">
      <alignment horizontal="left" vertical="center"/>
      <protection hidden="1"/>
    </xf>
    <xf numFmtId="0" fontId="150" fillId="54" borderId="14" xfId="5" applyFont="1" applyFill="1" applyBorder="1" applyAlignment="1">
      <alignment horizontal="center"/>
    </xf>
    <xf numFmtId="0" fontId="22" fillId="0" borderId="145" xfId="0" applyFont="1" applyBorder="1" applyAlignment="1">
      <alignment horizontal="center" vertical="center" wrapText="1"/>
    </xf>
    <xf numFmtId="0" fontId="22" fillId="0" borderId="45" xfId="0" applyFont="1" applyBorder="1" applyAlignment="1">
      <alignment horizontal="center" vertical="center" wrapText="1"/>
    </xf>
    <xf numFmtId="0" fontId="22" fillId="0" borderId="31" xfId="0" applyFont="1" applyBorder="1" applyAlignment="1">
      <alignment horizontal="center" vertical="center" wrapText="1"/>
    </xf>
    <xf numFmtId="0" fontId="22" fillId="0" borderId="4" xfId="0" applyFont="1" applyBorder="1" applyAlignment="1">
      <alignment horizontal="center" vertical="center" wrapText="1"/>
    </xf>
    <xf numFmtId="0" fontId="28" fillId="55" borderId="4" xfId="9" applyFont="1" applyFill="1" applyBorder="1" applyAlignment="1" applyProtection="1">
      <alignment horizontal="center" vertical="center" wrapText="1"/>
      <protection hidden="1"/>
    </xf>
    <xf numFmtId="0" fontId="28" fillId="55" borderId="63" xfId="9" applyFont="1" applyFill="1" applyBorder="1" applyAlignment="1" applyProtection="1">
      <alignment horizontal="center" vertical="center" wrapText="1"/>
      <protection hidden="1"/>
    </xf>
    <xf numFmtId="0" fontId="29" fillId="53" borderId="4" xfId="6" applyNumberFormat="1" applyFont="1" applyFill="1" applyBorder="1" applyAlignment="1">
      <alignment horizontal="center" vertical="center"/>
    </xf>
    <xf numFmtId="0" fontId="29" fillId="53" borderId="63" xfId="6" applyNumberFormat="1" applyFont="1" applyFill="1" applyBorder="1" applyAlignment="1">
      <alignment horizontal="center" vertical="center"/>
    </xf>
    <xf numFmtId="0" fontId="29" fillId="53" borderId="9" xfId="6" applyNumberFormat="1" applyFont="1" applyFill="1" applyBorder="1" applyAlignment="1">
      <alignment horizontal="center" vertical="center"/>
    </xf>
    <xf numFmtId="0" fontId="29" fillId="53" borderId="153" xfId="6" applyNumberFormat="1" applyFont="1" applyFill="1" applyBorder="1" applyAlignment="1">
      <alignment horizontal="center" vertical="center"/>
    </xf>
    <xf numFmtId="0" fontId="78" fillId="53" borderId="100" xfId="5" applyFont="1" applyFill="1" applyBorder="1" applyAlignment="1">
      <alignment horizontal="center" vertical="center" wrapText="1"/>
    </xf>
    <xf numFmtId="0" fontId="78" fillId="53" borderId="102" xfId="5" applyFont="1" applyFill="1" applyBorder="1" applyAlignment="1">
      <alignment horizontal="center" vertical="center" wrapText="1"/>
    </xf>
    <xf numFmtId="0" fontId="78" fillId="53" borderId="103" xfId="5" applyFont="1" applyFill="1" applyBorder="1" applyAlignment="1">
      <alignment horizontal="center" vertical="center" wrapText="1"/>
    </xf>
    <xf numFmtId="0" fontId="78" fillId="53" borderId="26" xfId="5" applyFont="1" applyFill="1" applyBorder="1" applyAlignment="1">
      <alignment horizontal="center" vertical="center" wrapText="1"/>
    </xf>
    <xf numFmtId="0" fontId="150" fillId="54" borderId="97" xfId="5" applyFont="1" applyFill="1" applyBorder="1" applyAlignment="1">
      <alignment horizontal="center" vertical="center"/>
    </xf>
    <xf numFmtId="0" fontId="150" fillId="54" borderId="98" xfId="5" applyFont="1" applyFill="1" applyBorder="1" applyAlignment="1">
      <alignment horizontal="center" vertical="center"/>
    </xf>
    <xf numFmtId="0" fontId="150" fillId="54" borderId="5" xfId="5" applyFont="1" applyFill="1" applyBorder="1" applyAlignment="1">
      <alignment horizontal="center" vertical="center"/>
    </xf>
    <xf numFmtId="0" fontId="22" fillId="13" borderId="0" xfId="0" applyFont="1" applyFill="1" applyAlignment="1" applyProtection="1">
      <alignment horizontal="center"/>
      <protection hidden="1"/>
    </xf>
    <xf numFmtId="0" fontId="30" fillId="0" borderId="59" xfId="0" applyFont="1" applyBorder="1" applyAlignment="1">
      <alignment horizontal="left"/>
    </xf>
    <xf numFmtId="0" fontId="30" fillId="0" borderId="60" xfId="0" applyFont="1" applyBorder="1" applyAlignment="1">
      <alignment horizontal="left"/>
    </xf>
    <xf numFmtId="0" fontId="30" fillId="0" borderId="62" xfId="0" applyFont="1" applyBorder="1" applyAlignment="1">
      <alignment horizontal="left"/>
    </xf>
    <xf numFmtId="0" fontId="30" fillId="0" borderId="4" xfId="0" applyFont="1" applyBorder="1" applyAlignment="1">
      <alignment horizontal="left"/>
    </xf>
    <xf numFmtId="0" fontId="73" fillId="0" borderId="9" xfId="0" applyFont="1" applyBorder="1" applyAlignment="1" applyProtection="1">
      <alignment horizontal="center" vertical="center" wrapText="1"/>
      <protection hidden="1"/>
    </xf>
    <xf numFmtId="0" fontId="73" fillId="0" borderId="13" xfId="0" applyFont="1" applyBorder="1" applyAlignment="1" applyProtection="1">
      <alignment horizontal="center" vertical="center" wrapText="1"/>
      <protection hidden="1"/>
    </xf>
    <xf numFmtId="0" fontId="73" fillId="0" borderId="21" xfId="0" applyFont="1" applyBorder="1" applyAlignment="1" applyProtection="1">
      <alignment horizontal="center" vertical="center" wrapText="1"/>
      <protection hidden="1"/>
    </xf>
    <xf numFmtId="0" fontId="30" fillId="18" borderId="55" xfId="0" applyFont="1" applyFill="1" applyBorder="1" applyAlignment="1">
      <alignment horizontal="center" vertical="center" wrapText="1"/>
    </xf>
    <xf numFmtId="0" fontId="30" fillId="18" borderId="56" xfId="0" applyFont="1" applyFill="1" applyBorder="1" applyAlignment="1">
      <alignment horizontal="center" vertical="center" wrapText="1"/>
    </xf>
    <xf numFmtId="0" fontId="30" fillId="0" borderId="74" xfId="0" applyFont="1" applyBorder="1" applyAlignment="1">
      <alignment horizontal="left"/>
    </xf>
    <xf numFmtId="0" fontId="30" fillId="0" borderId="14" xfId="0" applyFont="1" applyBorder="1" applyAlignment="1">
      <alignment horizontal="left"/>
    </xf>
    <xf numFmtId="0" fontId="30" fillId="0" borderId="65" xfId="0" applyFont="1" applyBorder="1" applyAlignment="1">
      <alignment horizontal="left"/>
    </xf>
    <xf numFmtId="0" fontId="30" fillId="0" borderId="66" xfId="0" applyFont="1" applyBorder="1" applyAlignment="1">
      <alignment horizontal="left"/>
    </xf>
    <xf numFmtId="0" fontId="25" fillId="0" borderId="55" xfId="0" applyFont="1" applyBorder="1" applyAlignment="1">
      <alignment horizontal="left"/>
    </xf>
    <xf numFmtId="0" fontId="25" fillId="0" borderId="56" xfId="0" applyFont="1" applyBorder="1" applyAlignment="1">
      <alignment horizontal="left"/>
    </xf>
    <xf numFmtId="0" fontId="33" fillId="29" borderId="71" xfId="0" applyFont="1" applyFill="1" applyBorder="1" applyAlignment="1">
      <alignment horizontal="left" wrapText="1"/>
    </xf>
    <xf numFmtId="0" fontId="33" fillId="29" borderId="71" xfId="0" applyFont="1" applyFill="1" applyBorder="1" applyAlignment="1">
      <alignment horizontal="left"/>
    </xf>
    <xf numFmtId="0" fontId="30" fillId="0" borderId="71" xfId="0" applyFont="1" applyBorder="1" applyAlignment="1">
      <alignment horizontal="center"/>
    </xf>
    <xf numFmtId="0" fontId="25" fillId="35" borderId="83" xfId="0" applyFont="1" applyFill="1" applyBorder="1" applyAlignment="1">
      <alignment horizontal="center" vertical="center" wrapText="1"/>
    </xf>
    <xf numFmtId="0" fontId="25" fillId="35" borderId="61" xfId="0" applyFont="1" applyFill="1" applyBorder="1" applyAlignment="1">
      <alignment horizontal="center" vertical="center" wrapText="1"/>
    </xf>
    <xf numFmtId="0" fontId="56" fillId="0" borderId="78" xfId="0" applyFont="1" applyBorder="1" applyAlignment="1" applyProtection="1">
      <alignment horizontal="left" vertical="center"/>
      <protection locked="0"/>
    </xf>
    <xf numFmtId="0" fontId="56" fillId="0" borderId="21" xfId="0" applyFont="1" applyBorder="1" applyAlignment="1" applyProtection="1">
      <alignment horizontal="left" vertical="center"/>
      <protection locked="0"/>
    </xf>
    <xf numFmtId="0" fontId="37" fillId="33" borderId="55" xfId="0" applyFont="1" applyFill="1" applyBorder="1" applyAlignment="1">
      <alignment horizontal="center" vertical="center" wrapText="1"/>
    </xf>
    <xf numFmtId="0" fontId="37" fillId="33" borderId="71" xfId="0" applyFont="1" applyFill="1" applyBorder="1" applyAlignment="1">
      <alignment horizontal="center" vertical="center" wrapText="1"/>
    </xf>
    <xf numFmtId="0" fontId="37" fillId="33" borderId="76" xfId="0" applyFont="1" applyFill="1" applyBorder="1" applyAlignment="1">
      <alignment horizontal="center" vertical="center" wrapText="1"/>
    </xf>
    <xf numFmtId="0" fontId="25" fillId="34" borderId="71" xfId="0" applyFont="1" applyFill="1" applyBorder="1" applyAlignment="1">
      <alignment horizontal="center" wrapText="1"/>
    </xf>
    <xf numFmtId="0" fontId="25" fillId="34" borderId="76" xfId="0" applyFont="1" applyFill="1" applyBorder="1" applyAlignment="1">
      <alignment horizontal="center" wrapText="1"/>
    </xf>
    <xf numFmtId="0" fontId="56" fillId="0" borderId="78" xfId="0" applyFont="1" applyBorder="1" applyAlignment="1" applyProtection="1">
      <alignment horizontal="left" vertical="center" wrapText="1"/>
      <protection locked="0"/>
    </xf>
    <xf numFmtId="0" fontId="56" fillId="0" borderId="21" xfId="0" applyFont="1" applyBorder="1" applyAlignment="1" applyProtection="1">
      <alignment horizontal="left" vertical="center" wrapText="1"/>
      <protection locked="0"/>
    </xf>
    <xf numFmtId="0" fontId="14" fillId="13" borderId="25" xfId="0" applyFont="1" applyFill="1" applyBorder="1" applyAlignment="1" applyProtection="1">
      <alignment horizontal="left" vertical="top"/>
      <protection locked="0"/>
    </xf>
    <xf numFmtId="0" fontId="14" fillId="13" borderId="22" xfId="0" applyFont="1" applyFill="1" applyBorder="1" applyAlignment="1" applyProtection="1">
      <alignment horizontal="left" vertical="top"/>
      <protection locked="0"/>
    </xf>
    <xf numFmtId="0" fontId="14" fillId="13" borderId="32" xfId="0" applyFont="1" applyFill="1" applyBorder="1" applyAlignment="1" applyProtection="1">
      <alignment horizontal="left" vertical="top"/>
      <protection locked="0"/>
    </xf>
    <xf numFmtId="0" fontId="14" fillId="13" borderId="50" xfId="0" applyFont="1" applyFill="1" applyBorder="1" applyAlignment="1" applyProtection="1">
      <alignment horizontal="left" vertical="top"/>
      <protection locked="0"/>
    </xf>
    <xf numFmtId="0" fontId="14" fillId="13" borderId="16" xfId="0" applyFont="1" applyFill="1" applyBorder="1" applyAlignment="1" applyProtection="1">
      <alignment horizontal="left" vertical="top"/>
      <protection locked="0"/>
    </xf>
    <xf numFmtId="0" fontId="14" fillId="13" borderId="4" xfId="0" applyFont="1" applyFill="1" applyBorder="1" applyAlignment="1" applyProtection="1">
      <alignment horizontal="left" vertical="top"/>
      <protection locked="0"/>
    </xf>
    <xf numFmtId="0" fontId="14" fillId="13" borderId="16" xfId="0" applyFont="1" applyFill="1" applyBorder="1" applyAlignment="1" applyProtection="1">
      <alignment horizontal="left"/>
      <protection locked="0"/>
    </xf>
    <xf numFmtId="0" fontId="14" fillId="13" borderId="4" xfId="0" applyFont="1" applyFill="1" applyBorder="1" applyAlignment="1" applyProtection="1">
      <alignment horizontal="left"/>
      <protection locked="0"/>
    </xf>
    <xf numFmtId="0" fontId="14" fillId="13" borderId="25" xfId="0" applyFont="1" applyFill="1" applyBorder="1" applyAlignment="1" applyProtection="1">
      <alignment horizontal="left"/>
      <protection locked="0"/>
    </xf>
    <xf numFmtId="0" fontId="14" fillId="13" borderId="22" xfId="0" applyFont="1" applyFill="1" applyBorder="1" applyAlignment="1" applyProtection="1">
      <alignment horizontal="left"/>
      <protection locked="0"/>
    </xf>
    <xf numFmtId="0" fontId="25" fillId="35" borderId="79" xfId="0" applyFont="1" applyFill="1" applyBorder="1" applyAlignment="1">
      <alignment horizontal="center" vertical="center" wrapText="1"/>
    </xf>
    <xf numFmtId="0" fontId="25" fillId="35" borderId="84" xfId="0" applyFont="1" applyFill="1" applyBorder="1" applyAlignment="1">
      <alignment horizontal="center" vertical="center" wrapText="1"/>
    </xf>
    <xf numFmtId="0" fontId="25" fillId="35" borderId="80" xfId="0" applyFont="1" applyFill="1" applyBorder="1" applyAlignment="1">
      <alignment horizontal="center" vertical="center" wrapText="1"/>
    </xf>
    <xf numFmtId="0" fontId="25" fillId="35" borderId="35" xfId="0" applyFont="1" applyFill="1" applyBorder="1" applyAlignment="1">
      <alignment horizontal="center" vertical="center" wrapText="1"/>
    </xf>
    <xf numFmtId="0" fontId="27" fillId="13" borderId="21" xfId="12" applyFont="1" applyFill="1" applyBorder="1" applyAlignment="1" applyProtection="1">
      <alignment horizontal="center" vertical="top" wrapText="1"/>
      <protection locked="0" hidden="1"/>
    </xf>
    <xf numFmtId="0" fontId="27" fillId="13" borderId="4" xfId="12" applyFont="1" applyFill="1" applyBorder="1" applyAlignment="1" applyProtection="1">
      <alignment horizontal="center" vertical="top" wrapText="1"/>
      <protection locked="0" hidden="1"/>
    </xf>
    <xf numFmtId="0" fontId="27" fillId="13" borderId="34" xfId="12" applyFont="1" applyFill="1" applyBorder="1" applyAlignment="1" applyProtection="1">
      <alignment horizontal="center" vertical="top" wrapText="1"/>
      <protection locked="0" hidden="1"/>
    </xf>
    <xf numFmtId="0" fontId="27" fillId="13" borderId="20" xfId="12" applyFont="1" applyFill="1" applyBorder="1" applyAlignment="1" applyProtection="1">
      <alignment horizontal="center" vertical="top" wrapText="1"/>
      <protection locked="0" hidden="1"/>
    </xf>
    <xf numFmtId="0" fontId="14" fillId="0" borderId="34" xfId="0" applyFont="1" applyBorder="1" applyAlignment="1" applyProtection="1">
      <alignment horizontal="center"/>
      <protection locked="0" hidden="1"/>
    </xf>
    <xf numFmtId="0" fontId="14" fillId="0" borderId="20" xfId="0" applyFont="1" applyBorder="1" applyAlignment="1" applyProtection="1">
      <alignment horizontal="center"/>
      <protection locked="0" hidden="1"/>
    </xf>
    <xf numFmtId="41" fontId="14" fillId="0" borderId="13" xfId="0" applyNumberFormat="1" applyFont="1" applyBorder="1" applyAlignment="1" applyProtection="1">
      <alignment horizontal="left"/>
      <protection hidden="1"/>
    </xf>
    <xf numFmtId="0" fontId="14" fillId="0" borderId="13" xfId="0" applyFont="1" applyBorder="1" applyAlignment="1" applyProtection="1">
      <alignment horizontal="left"/>
      <protection hidden="1"/>
    </xf>
    <xf numFmtId="0" fontId="28" fillId="25" borderId="46" xfId="0" applyFont="1" applyFill="1" applyBorder="1" applyAlignment="1" applyProtection="1">
      <alignment horizontal="center" vertical="center"/>
      <protection hidden="1"/>
    </xf>
    <xf numFmtId="0" fontId="25" fillId="25" borderId="24" xfId="0" applyFont="1" applyFill="1" applyBorder="1" applyAlignment="1" applyProtection="1">
      <alignment horizontal="center" vertical="center"/>
      <protection hidden="1"/>
    </xf>
    <xf numFmtId="0" fontId="10" fillId="0" borderId="4" xfId="0" applyFont="1" applyBorder="1" applyAlignment="1" applyProtection="1">
      <alignment horizontal="center" vertical="center" wrapText="1"/>
      <protection hidden="1"/>
    </xf>
    <xf numFmtId="0" fontId="19" fillId="25" borderId="4" xfId="0" applyFont="1" applyFill="1" applyBorder="1" applyAlignment="1" applyProtection="1">
      <alignment horizontal="center" vertical="center"/>
      <protection hidden="1"/>
    </xf>
    <xf numFmtId="0" fontId="14" fillId="0" borderId="33" xfId="0" applyFont="1" applyBorder="1" applyAlignment="1" applyProtection="1">
      <alignment horizontal="left"/>
      <protection hidden="1"/>
    </xf>
    <xf numFmtId="14" fontId="27" fillId="0" borderId="13" xfId="0" applyNumberFormat="1" applyFont="1" applyBorder="1" applyAlignment="1" applyProtection="1">
      <alignment horizontal="left"/>
      <protection locked="0"/>
    </xf>
    <xf numFmtId="0" fontId="27" fillId="0" borderId="13" xfId="0" applyFont="1" applyBorder="1" applyAlignment="1" applyProtection="1">
      <alignment horizontal="left"/>
      <protection locked="0"/>
    </xf>
    <xf numFmtId="0" fontId="14" fillId="0" borderId="41" xfId="0" applyFont="1" applyBorder="1" applyAlignment="1" applyProtection="1">
      <alignment horizontal="center"/>
      <protection hidden="1"/>
    </xf>
    <xf numFmtId="9" fontId="24" fillId="25" borderId="9" xfId="2" applyFont="1" applyFill="1" applyBorder="1" applyAlignment="1" applyProtection="1">
      <alignment horizontal="center" vertical="center"/>
      <protection hidden="1"/>
    </xf>
    <xf numFmtId="9" fontId="24" fillId="25" borderId="21" xfId="2" applyFont="1" applyFill="1" applyBorder="1" applyAlignment="1" applyProtection="1">
      <alignment horizontal="center" vertical="center"/>
      <protection hidden="1"/>
    </xf>
    <xf numFmtId="0" fontId="11" fillId="13" borderId="72" xfId="12" applyFont="1" applyFill="1" applyBorder="1" applyAlignment="1" applyProtection="1">
      <alignment horizontal="center" vertical="center" wrapText="1"/>
      <protection locked="0" hidden="1"/>
    </xf>
    <xf numFmtId="0" fontId="11" fillId="13" borderId="57" xfId="12" applyFont="1" applyFill="1" applyBorder="1" applyAlignment="1" applyProtection="1">
      <alignment horizontal="center" vertical="center" wrapText="1"/>
      <protection locked="0" hidden="1"/>
    </xf>
    <xf numFmtId="0" fontId="23" fillId="22" borderId="20" xfId="12" applyFont="1" applyBorder="1" applyAlignment="1" applyProtection="1">
      <alignment horizontal="center" vertical="center" wrapText="1"/>
      <protection hidden="1"/>
    </xf>
    <xf numFmtId="0" fontId="23" fillId="22" borderId="14" xfId="12" applyFont="1" applyBorder="1" applyAlignment="1" applyProtection="1">
      <alignment horizontal="center" vertical="center" wrapText="1"/>
      <protection hidden="1"/>
    </xf>
    <xf numFmtId="0" fontId="23" fillId="22" borderId="30" xfId="12" applyFont="1" applyBorder="1" applyAlignment="1" applyProtection="1">
      <alignment horizontal="center" vertical="center" wrapText="1"/>
      <protection hidden="1"/>
    </xf>
    <xf numFmtId="0" fontId="23" fillId="22" borderId="34" xfId="12" applyFont="1" applyBorder="1" applyAlignment="1" applyProtection="1">
      <alignment horizontal="center" vertical="center" wrapText="1"/>
      <protection hidden="1"/>
    </xf>
    <xf numFmtId="0" fontId="23" fillId="22" borderId="31" xfId="12" applyFont="1" applyBorder="1" applyAlignment="1" applyProtection="1">
      <alignment horizontal="center" vertical="center" wrapText="1"/>
      <protection hidden="1"/>
    </xf>
    <xf numFmtId="0" fontId="23" fillId="22" borderId="35" xfId="12" applyFont="1" applyBorder="1" applyAlignment="1" applyProtection="1">
      <alignment horizontal="center" vertical="center" wrapText="1"/>
      <protection hidden="1"/>
    </xf>
    <xf numFmtId="0" fontId="27" fillId="13" borderId="0" xfId="12" applyFont="1" applyFill="1" applyBorder="1" applyAlignment="1" applyProtection="1">
      <alignment horizontal="center" vertical="top" wrapText="1"/>
      <protection locked="0" hidden="1"/>
    </xf>
    <xf numFmtId="0" fontId="25" fillId="12" borderId="4" xfId="0" applyFont="1" applyFill="1" applyBorder="1" applyAlignment="1" applyProtection="1">
      <alignment horizontal="center" vertical="center"/>
      <protection hidden="1"/>
    </xf>
    <xf numFmtId="0" fontId="47" fillId="0" borderId="0" xfId="0" applyFont="1" applyBorder="1" applyAlignment="1" applyProtection="1">
      <alignment horizontal="left" vertical="top" wrapText="1"/>
      <protection hidden="1"/>
    </xf>
    <xf numFmtId="9" fontId="27" fillId="0" borderId="38" xfId="2" applyFont="1" applyBorder="1" applyAlignment="1" applyProtection="1">
      <alignment horizontal="center" vertical="center"/>
      <protection locked="0"/>
    </xf>
    <xf numFmtId="9" fontId="27" fillId="0" borderId="39" xfId="2" applyFont="1" applyBorder="1" applyAlignment="1" applyProtection="1">
      <alignment horizontal="center" vertical="center"/>
      <protection locked="0"/>
    </xf>
    <xf numFmtId="9" fontId="27" fillId="0" borderId="40" xfId="2" applyFont="1" applyBorder="1" applyAlignment="1" applyProtection="1">
      <alignment horizontal="center" vertical="center"/>
      <protection locked="0"/>
    </xf>
    <xf numFmtId="165" fontId="27" fillId="0" borderId="37" xfId="1" applyFont="1" applyBorder="1" applyAlignment="1" applyProtection="1">
      <alignment horizontal="center" vertical="center"/>
      <protection locked="0"/>
    </xf>
    <xf numFmtId="0" fontId="14" fillId="0" borderId="0" xfId="0" applyFont="1" applyAlignment="1" applyProtection="1">
      <alignment horizontal="left" wrapText="1"/>
      <protection hidden="1"/>
    </xf>
    <xf numFmtId="0" fontId="25" fillId="0" borderId="0" xfId="0" applyFont="1" applyAlignment="1" applyProtection="1">
      <alignment horizontal="left"/>
      <protection hidden="1"/>
    </xf>
    <xf numFmtId="0" fontId="36" fillId="0" borderId="0" xfId="0" applyFont="1" applyAlignment="1" applyProtection="1">
      <alignment horizontal="left" vertical="center" wrapText="1"/>
      <protection hidden="1"/>
    </xf>
    <xf numFmtId="0" fontId="36" fillId="0" borderId="0" xfId="0" applyFont="1" applyAlignment="1" applyProtection="1">
      <alignment horizontal="left" wrapText="1"/>
      <protection hidden="1"/>
    </xf>
    <xf numFmtId="0" fontId="48" fillId="12" borderId="16" xfId="8" applyFont="1" applyFill="1" applyBorder="1" applyAlignment="1" applyProtection="1">
      <alignment horizontal="center" vertical="center" textRotation="90" wrapText="1"/>
    </xf>
    <xf numFmtId="0" fontId="9" fillId="12" borderId="4" xfId="8" applyFont="1" applyFill="1" applyBorder="1" applyAlignment="1" applyProtection="1">
      <alignment vertical="center" wrapText="1"/>
    </xf>
    <xf numFmtId="0" fontId="48" fillId="6" borderId="169" xfId="8" applyFont="1" applyFill="1" applyBorder="1" applyAlignment="1" applyProtection="1">
      <alignment horizontal="center" vertical="center" textRotation="90" wrapText="1"/>
    </xf>
    <xf numFmtId="0" fontId="48" fillId="6" borderId="46" xfId="8" applyFont="1" applyFill="1" applyBorder="1" applyAlignment="1" applyProtection="1">
      <alignment horizontal="center" vertical="center" textRotation="90" wrapText="1"/>
    </xf>
    <xf numFmtId="0" fontId="9" fillId="6" borderId="168" xfId="8" applyFont="1" applyFill="1" applyBorder="1" applyAlignment="1" applyProtection="1">
      <alignment horizontal="center" vertical="center" wrapText="1"/>
    </xf>
    <xf numFmtId="0" fontId="9" fillId="6" borderId="24" xfId="8" applyFont="1" applyFill="1" applyBorder="1" applyAlignment="1" applyProtection="1">
      <alignment horizontal="center" vertical="center" wrapText="1"/>
    </xf>
    <xf numFmtId="0" fontId="9" fillId="6" borderId="47" xfId="8" applyFont="1" applyFill="1" applyBorder="1" applyAlignment="1" applyProtection="1">
      <alignment horizontal="center" vertical="center" wrapText="1"/>
    </xf>
    <xf numFmtId="0" fontId="27" fillId="14" borderId="170" xfId="5" applyFont="1" applyFill="1" applyBorder="1" applyAlignment="1">
      <alignment horizontal="center" vertical="center"/>
    </xf>
    <xf numFmtId="0" fontId="27" fillId="14" borderId="0" xfId="5" applyFont="1" applyFill="1" applyAlignment="1">
      <alignment horizontal="center" vertical="center"/>
    </xf>
    <xf numFmtId="0" fontId="50" fillId="0" borderId="0" xfId="5" applyFont="1" applyAlignment="1" applyProtection="1">
      <alignment horizontal="left" vertical="center" wrapText="1"/>
      <protection locked="0"/>
    </xf>
    <xf numFmtId="0" fontId="25" fillId="13" borderId="0" xfId="0" applyFont="1" applyFill="1" applyAlignment="1">
      <alignment horizontal="center"/>
    </xf>
    <xf numFmtId="167" fontId="28" fillId="16" borderId="4" xfId="4" applyNumberFormat="1" applyFont="1" applyFill="1" applyBorder="1" applyAlignment="1" applyProtection="1">
      <alignment horizontal="center" vertical="center"/>
    </xf>
    <xf numFmtId="167" fontId="27" fillId="16" borderId="9" xfId="4" applyNumberFormat="1" applyFont="1" applyFill="1" applyBorder="1" applyAlignment="1" applyProtection="1">
      <alignment horizontal="center" vertical="center"/>
    </xf>
    <xf numFmtId="167" fontId="27" fillId="16" borderId="13" xfId="4" applyNumberFormat="1" applyFont="1" applyFill="1" applyBorder="1" applyAlignment="1" applyProtection="1">
      <alignment horizontal="center" vertical="center"/>
    </xf>
    <xf numFmtId="167" fontId="27" fillId="16" borderId="21" xfId="4" applyNumberFormat="1" applyFont="1" applyFill="1" applyBorder="1" applyAlignment="1" applyProtection="1">
      <alignment horizontal="center" vertical="center"/>
    </xf>
    <xf numFmtId="167" fontId="28" fillId="30" borderId="4" xfId="4" applyNumberFormat="1" applyFont="1" applyFill="1" applyBorder="1" applyAlignment="1" applyProtection="1">
      <alignment horizontal="center" vertical="center"/>
    </xf>
    <xf numFmtId="167" fontId="28" fillId="20" borderId="4" xfId="4" applyNumberFormat="1" applyFont="1" applyFill="1" applyBorder="1" applyAlignment="1" applyProtection="1">
      <alignment horizontal="center" vertical="center"/>
    </xf>
    <xf numFmtId="9" fontId="51" fillId="21" borderId="4" xfId="2" applyFont="1" applyFill="1" applyBorder="1" applyAlignment="1" applyProtection="1">
      <alignment horizontal="center" vertical="center"/>
    </xf>
    <xf numFmtId="0" fontId="30" fillId="5" borderId="9" xfId="9" applyFont="1" applyFill="1" applyBorder="1" applyAlignment="1">
      <alignment horizontal="center" vertical="center" wrapText="1"/>
    </xf>
    <xf numFmtId="0" fontId="30" fillId="5" borderId="13" xfId="9" applyFont="1" applyFill="1" applyBorder="1" applyAlignment="1">
      <alignment horizontal="center" vertical="center" wrapText="1"/>
    </xf>
    <xf numFmtId="0" fontId="30" fillId="5" borderId="21" xfId="9" applyFont="1" applyFill="1" applyBorder="1" applyAlignment="1">
      <alignment horizontal="center" vertical="center" wrapText="1"/>
    </xf>
    <xf numFmtId="0" fontId="27" fillId="15" borderId="170" xfId="5" applyFont="1" applyFill="1" applyBorder="1" applyAlignment="1">
      <alignment horizontal="center" vertical="center"/>
    </xf>
    <xf numFmtId="0" fontId="27" fillId="15" borderId="0" xfId="5" applyFont="1" applyFill="1" applyAlignment="1">
      <alignment horizontal="center" vertical="center"/>
    </xf>
    <xf numFmtId="0" fontId="27" fillId="15" borderId="33" xfId="5" applyFont="1" applyFill="1" applyBorder="1" applyAlignment="1">
      <alignment horizontal="center" vertical="center"/>
    </xf>
    <xf numFmtId="0" fontId="47" fillId="8" borderId="166" xfId="0" applyFont="1" applyFill="1" applyBorder="1" applyAlignment="1">
      <alignment horizontal="left" vertical="center" wrapText="1"/>
    </xf>
    <xf numFmtId="0" fontId="47" fillId="8" borderId="31" xfId="0" applyFont="1" applyFill="1" applyBorder="1" applyAlignment="1">
      <alignment horizontal="left" vertical="center" wrapText="1"/>
    </xf>
    <xf numFmtId="0" fontId="9" fillId="8" borderId="4" xfId="8" applyFont="1" applyFill="1" applyBorder="1" applyAlignment="1" applyProtection="1">
      <alignment vertical="center" wrapText="1"/>
    </xf>
    <xf numFmtId="0" fontId="46" fillId="11" borderId="29" xfId="8" applyFont="1" applyFill="1" applyBorder="1" applyAlignment="1" applyProtection="1">
      <alignment horizontal="center" vertical="center" textRotation="90" wrapText="1"/>
    </xf>
    <xf numFmtId="0" fontId="46" fillId="11" borderId="51" xfId="8" applyFont="1" applyFill="1" applyBorder="1" applyAlignment="1" applyProtection="1">
      <alignment horizontal="center" vertical="center" textRotation="90" wrapText="1"/>
    </xf>
    <xf numFmtId="0" fontId="46" fillId="11" borderId="49" xfId="8" applyFont="1" applyFill="1" applyBorder="1" applyAlignment="1" applyProtection="1">
      <alignment horizontal="center" vertical="center" textRotation="90" wrapText="1"/>
    </xf>
    <xf numFmtId="0" fontId="9" fillId="11" borderId="168" xfId="8" applyFont="1" applyFill="1" applyBorder="1" applyAlignment="1" applyProtection="1">
      <alignment horizontal="center" vertical="center" wrapText="1"/>
    </xf>
    <xf numFmtId="0" fontId="9" fillId="11" borderId="24" xfId="8" applyFont="1" applyFill="1" applyBorder="1" applyAlignment="1" applyProtection="1">
      <alignment horizontal="center" vertical="center" wrapText="1"/>
    </xf>
    <xf numFmtId="0" fontId="9" fillId="11" borderId="14" xfId="8" applyFont="1" applyFill="1" applyBorder="1" applyAlignment="1" applyProtection="1">
      <alignment horizontal="center" vertical="center" wrapText="1"/>
    </xf>
    <xf numFmtId="0" fontId="9" fillId="11" borderId="4" xfId="8" applyFont="1" applyFill="1" applyBorder="1" applyAlignment="1" applyProtection="1">
      <alignment vertical="center" wrapText="1"/>
    </xf>
    <xf numFmtId="0" fontId="47" fillId="18" borderId="166" xfId="0" applyFont="1" applyFill="1" applyBorder="1" applyAlignment="1">
      <alignment horizontal="left" vertical="center" wrapText="1"/>
    </xf>
    <xf numFmtId="0" fontId="47" fillId="18" borderId="31" xfId="0" applyFont="1" applyFill="1" applyBorder="1" applyAlignment="1">
      <alignment horizontal="left" vertical="center" wrapText="1"/>
    </xf>
    <xf numFmtId="0" fontId="48" fillId="8" borderId="16" xfId="8" applyFont="1" applyFill="1" applyBorder="1" applyAlignment="1" applyProtection="1">
      <alignment horizontal="center" vertical="center" textRotation="90" wrapText="1"/>
    </xf>
    <xf numFmtId="167" fontId="17" fillId="9" borderId="19" xfId="4" applyNumberFormat="1" applyFont="1" applyFill="1" applyBorder="1" applyAlignment="1" applyProtection="1">
      <alignment horizontal="center" vertical="center"/>
      <protection hidden="1"/>
    </xf>
    <xf numFmtId="165" fontId="11" fillId="5" borderId="170" xfId="2" applyNumberFormat="1" applyFont="1" applyFill="1" applyBorder="1" applyAlignment="1" applyProtection="1">
      <alignment horizontal="center" vertical="center"/>
      <protection hidden="1"/>
    </xf>
    <xf numFmtId="165" fontId="11" fillId="5" borderId="167" xfId="2" applyNumberFormat="1" applyFont="1" applyFill="1" applyBorder="1" applyAlignment="1" applyProtection="1">
      <alignment horizontal="center" vertical="center"/>
      <protection hidden="1"/>
    </xf>
    <xf numFmtId="0" fontId="43" fillId="13" borderId="103" xfId="5" applyFont="1" applyFill="1" applyBorder="1" applyAlignment="1">
      <alignment horizontal="center" vertical="center"/>
    </xf>
    <xf numFmtId="0" fontId="43" fillId="13" borderId="0" xfId="5" applyFont="1" applyFill="1" applyAlignment="1">
      <alignment horizontal="center" vertical="center"/>
    </xf>
    <xf numFmtId="0" fontId="43" fillId="13" borderId="33" xfId="5" applyFont="1" applyFill="1" applyBorder="1" applyAlignment="1">
      <alignment horizontal="center" vertical="center"/>
    </xf>
    <xf numFmtId="41" fontId="10" fillId="5" borderId="19" xfId="3" applyNumberFormat="1" applyFont="1" applyFill="1" applyBorder="1" applyAlignment="1" applyProtection="1">
      <alignment horizontal="center" vertical="center" wrapText="1"/>
      <protection hidden="1"/>
    </xf>
    <xf numFmtId="0" fontId="10" fillId="5" borderId="19" xfId="3" applyFont="1" applyFill="1" applyBorder="1" applyAlignment="1" applyProtection="1">
      <alignment horizontal="center" vertical="center" wrapText="1"/>
      <protection hidden="1"/>
    </xf>
    <xf numFmtId="0" fontId="10" fillId="5" borderId="0" xfId="3" applyFont="1" applyFill="1" applyBorder="1" applyAlignment="1" applyProtection="1">
      <alignment horizontal="center" vertical="center" wrapText="1"/>
      <protection hidden="1"/>
    </xf>
    <xf numFmtId="0" fontId="10" fillId="5" borderId="26" xfId="3" applyFont="1" applyFill="1" applyBorder="1" applyAlignment="1" applyProtection="1">
      <alignment horizontal="center" vertical="center" wrapText="1"/>
      <protection hidden="1"/>
    </xf>
    <xf numFmtId="0" fontId="10" fillId="5" borderId="13" xfId="3" applyFont="1" applyFill="1" applyBorder="1" applyAlignment="1" applyProtection="1">
      <alignment horizontal="center" vertical="center" wrapText="1"/>
      <protection hidden="1"/>
    </xf>
    <xf numFmtId="0" fontId="10" fillId="5" borderId="86" xfId="3" applyFont="1" applyFill="1" applyBorder="1" applyAlignment="1" applyProtection="1">
      <alignment horizontal="center" vertical="center" wrapText="1"/>
      <protection hidden="1"/>
    </xf>
    <xf numFmtId="0" fontId="10" fillId="5" borderId="21" xfId="3" applyFont="1" applyFill="1" applyBorder="1" applyAlignment="1" applyProtection="1">
      <alignment horizontal="center" vertical="center" wrapText="1"/>
      <protection hidden="1"/>
    </xf>
    <xf numFmtId="165" fontId="11" fillId="5" borderId="13" xfId="2" applyNumberFormat="1" applyFont="1" applyFill="1" applyBorder="1" applyAlignment="1" applyProtection="1">
      <alignment horizontal="center" vertical="center"/>
      <protection hidden="1"/>
    </xf>
    <xf numFmtId="165" fontId="11" fillId="5" borderId="86" xfId="2" applyNumberFormat="1" applyFont="1" applyFill="1" applyBorder="1" applyAlignment="1" applyProtection="1">
      <alignment horizontal="center" vertical="center"/>
      <protection hidden="1"/>
    </xf>
    <xf numFmtId="9" fontId="43" fillId="5" borderId="13" xfId="2" applyFont="1" applyFill="1" applyBorder="1" applyAlignment="1" applyProtection="1">
      <alignment horizontal="center" vertical="center"/>
      <protection hidden="1"/>
    </xf>
    <xf numFmtId="9" fontId="43" fillId="5" borderId="86" xfId="2" applyFont="1" applyFill="1" applyBorder="1" applyAlignment="1" applyProtection="1">
      <alignment horizontal="center" vertical="center"/>
      <protection hidden="1"/>
    </xf>
    <xf numFmtId="185" fontId="11" fillId="20" borderId="13" xfId="6" applyNumberFormat="1" applyFont="1" applyFill="1" applyBorder="1" applyAlignment="1" applyProtection="1">
      <alignment horizontal="center" vertical="center" wrapText="1"/>
      <protection hidden="1"/>
    </xf>
    <xf numFmtId="185" fontId="11" fillId="20" borderId="86" xfId="6" applyNumberFormat="1" applyFont="1" applyFill="1" applyBorder="1" applyAlignment="1" applyProtection="1">
      <alignment horizontal="center" vertical="center" wrapText="1"/>
      <protection hidden="1"/>
    </xf>
    <xf numFmtId="167" fontId="43" fillId="9" borderId="19" xfId="4" applyNumberFormat="1" applyFont="1" applyFill="1" applyBorder="1" applyAlignment="1" applyProtection="1">
      <alignment horizontal="center" vertical="center"/>
      <protection hidden="1"/>
    </xf>
    <xf numFmtId="0" fontId="66" fillId="0" borderId="0" xfId="0" applyFont="1" applyProtection="1">
      <protection locked="0"/>
    </xf>
    <xf numFmtId="0" fontId="25" fillId="0" borderId="0" xfId="0" applyFont="1" applyAlignment="1" applyProtection="1">
      <alignment horizontal="left" vertical="center" wrapText="1"/>
      <protection locked="0"/>
    </xf>
    <xf numFmtId="41" fontId="14" fillId="0" borderId="13" xfId="0" applyNumberFormat="1" applyFont="1" applyBorder="1" applyAlignment="1" applyProtection="1">
      <alignment horizontal="left" vertical="center"/>
      <protection locked="0"/>
    </xf>
    <xf numFmtId="0" fontId="66" fillId="0" borderId="13" xfId="0" applyFont="1" applyBorder="1" applyProtection="1">
      <protection locked="0"/>
    </xf>
    <xf numFmtId="9" fontId="66" fillId="0" borderId="0" xfId="2" applyFont="1" applyProtection="1">
      <protection locked="0"/>
    </xf>
    <xf numFmtId="10" fontId="117" fillId="5" borderId="7" xfId="2" applyNumberFormat="1" applyFont="1" applyFill="1" applyBorder="1" applyAlignment="1" applyProtection="1">
      <alignment horizontal="center" vertical="center" wrapText="1"/>
      <protection hidden="1"/>
    </xf>
    <xf numFmtId="10" fontId="117" fillId="5" borderId="14" xfId="2" applyNumberFormat="1" applyFont="1" applyFill="1" applyBorder="1" applyAlignment="1" applyProtection="1">
      <alignment horizontal="center" vertical="center" wrapText="1"/>
      <protection hidden="1"/>
    </xf>
    <xf numFmtId="10" fontId="117" fillId="5" borderId="144" xfId="7" applyNumberFormat="1" applyFont="1" applyFill="1" applyBorder="1" applyAlignment="1" applyProtection="1">
      <alignment horizontal="center" vertical="center" wrapText="1"/>
      <protection hidden="1"/>
    </xf>
    <xf numFmtId="10" fontId="117" fillId="5" borderId="14" xfId="7" applyNumberFormat="1" applyFont="1" applyFill="1" applyBorder="1" applyAlignment="1" applyProtection="1">
      <alignment horizontal="center" vertical="center" wrapText="1"/>
      <protection hidden="1"/>
    </xf>
    <xf numFmtId="10" fontId="117" fillId="5" borderId="7" xfId="7" applyNumberFormat="1" applyFont="1" applyFill="1" applyBorder="1" applyAlignment="1" applyProtection="1">
      <alignment horizontal="center" vertical="center" wrapText="1"/>
      <protection hidden="1"/>
    </xf>
    <xf numFmtId="9" fontId="35" fillId="65" borderId="129" xfId="0" applyNumberFormat="1" applyFont="1" applyFill="1" applyBorder="1" applyAlignment="1" applyProtection="1">
      <alignment horizontal="center" vertical="center" wrapText="1"/>
      <protection hidden="1"/>
    </xf>
    <xf numFmtId="10" fontId="117" fillId="5" borderId="159" xfId="2" applyNumberFormat="1" applyFont="1" applyFill="1" applyBorder="1" applyAlignment="1" applyProtection="1">
      <alignment horizontal="center" vertical="center" wrapText="1"/>
      <protection hidden="1"/>
    </xf>
    <xf numFmtId="0" fontId="35" fillId="0" borderId="165" xfId="0" applyFont="1" applyBorder="1" applyAlignment="1" applyProtection="1">
      <alignment horizontal="center" vertical="center" wrapText="1"/>
      <protection hidden="1"/>
    </xf>
    <xf numFmtId="10" fontId="117" fillId="5" borderId="24" xfId="2" applyNumberFormat="1" applyFont="1" applyFill="1" applyBorder="1" applyAlignment="1" applyProtection="1">
      <alignment horizontal="center" vertical="center" wrapText="1"/>
      <protection hidden="1"/>
    </xf>
    <xf numFmtId="0" fontId="35" fillId="0" borderId="164" xfId="0" applyFont="1" applyBorder="1" applyAlignment="1" applyProtection="1">
      <alignment horizontal="center" vertical="center" wrapText="1"/>
      <protection hidden="1"/>
    </xf>
    <xf numFmtId="10" fontId="117" fillId="5" borderId="28" xfId="7" applyNumberFormat="1" applyFont="1" applyFill="1" applyBorder="1" applyAlignment="1" applyProtection="1">
      <alignment horizontal="center" vertical="center" wrapText="1"/>
      <protection hidden="1"/>
    </xf>
    <xf numFmtId="0" fontId="35" fillId="0" borderId="129" xfId="0" applyFont="1" applyBorder="1" applyAlignment="1" applyProtection="1">
      <alignment horizontal="center" vertical="center" wrapText="1"/>
      <protection hidden="1"/>
    </xf>
    <xf numFmtId="10" fontId="117" fillId="5" borderId="15" xfId="7" applyNumberFormat="1" applyFont="1" applyFill="1" applyBorder="1" applyAlignment="1" applyProtection="1">
      <alignment horizontal="center" vertical="center" wrapText="1"/>
      <protection hidden="1"/>
    </xf>
    <xf numFmtId="0" fontId="166" fillId="0" borderId="0" xfId="5" applyFont="1" applyAlignment="1" applyProtection="1">
      <alignment horizontal="left" vertical="center" wrapText="1"/>
      <protection locked="0"/>
    </xf>
    <xf numFmtId="0" fontId="51" fillId="0" borderId="0" xfId="5" applyFont="1" applyAlignment="1" applyProtection="1">
      <alignment horizontal="center" vertical="center"/>
      <protection locked="0"/>
    </xf>
    <xf numFmtId="0" fontId="14" fillId="0" borderId="0" xfId="5" applyFont="1" applyAlignment="1" applyProtection="1">
      <alignment horizontal="center" vertical="center"/>
      <protection locked="0"/>
    </xf>
    <xf numFmtId="0" fontId="25" fillId="0" borderId="4" xfId="0" applyFont="1" applyBorder="1" applyAlignment="1" applyProtection="1">
      <alignment horizontal="center" vertical="center"/>
      <protection locked="0"/>
    </xf>
    <xf numFmtId="0" fontId="14" fillId="0" borderId="4" xfId="0" applyFont="1" applyBorder="1" applyAlignment="1" applyProtection="1">
      <alignment vertical="center" wrapText="1"/>
      <protection locked="0"/>
    </xf>
    <xf numFmtId="0" fontId="19" fillId="0" borderId="0" xfId="5" applyFont="1" applyAlignment="1" applyProtection="1">
      <alignment horizontal="right" vertical="center"/>
      <protection locked="0"/>
    </xf>
    <xf numFmtId="0" fontId="20" fillId="0" borderId="0" xfId="5" applyFont="1" applyAlignment="1" applyProtection="1">
      <alignment horizontal="right" vertical="center"/>
      <protection locked="0"/>
    </xf>
    <xf numFmtId="0" fontId="20" fillId="0" borderId="0" xfId="5" applyFont="1" applyAlignment="1" applyProtection="1">
      <alignment horizontal="right"/>
      <protection locked="0"/>
    </xf>
    <xf numFmtId="0" fontId="14" fillId="0" borderId="4" xfId="0" applyFont="1" applyBorder="1" applyAlignment="1" applyProtection="1">
      <alignment horizontal="center" vertical="top"/>
      <protection locked="0"/>
    </xf>
    <xf numFmtId="0" fontId="165" fillId="0" borderId="0" xfId="5" applyFont="1" applyAlignment="1" applyProtection="1">
      <alignment horizontal="right" vertical="center"/>
      <protection locked="0"/>
    </xf>
    <xf numFmtId="0" fontId="165" fillId="0" borderId="0" xfId="5" applyFont="1" applyAlignment="1" applyProtection="1">
      <alignment horizontal="right"/>
      <protection locked="0"/>
    </xf>
    <xf numFmtId="0" fontId="62" fillId="0" borderId="0" xfId="0" applyFont="1" applyProtection="1">
      <protection locked="0"/>
    </xf>
    <xf numFmtId="0" fontId="62" fillId="0" borderId="42" xfId="0" applyFont="1" applyBorder="1" applyProtection="1">
      <protection locked="0"/>
    </xf>
    <xf numFmtId="9" fontId="62" fillId="0" borderId="0" xfId="2" applyFont="1" applyProtection="1">
      <protection locked="0"/>
    </xf>
    <xf numFmtId="9" fontId="62" fillId="0" borderId="89" xfId="2" applyFont="1" applyBorder="1" applyProtection="1">
      <protection locked="0"/>
    </xf>
    <xf numFmtId="9" fontId="62" fillId="0" borderId="90" xfId="2" applyFont="1" applyBorder="1" applyProtection="1">
      <protection locked="0"/>
    </xf>
    <xf numFmtId="9" fontId="62" fillId="0" borderId="0" xfId="0" applyNumberFormat="1" applyFont="1" applyProtection="1">
      <protection locked="0"/>
    </xf>
    <xf numFmtId="9" fontId="62" fillId="0" borderId="91" xfId="2" applyFont="1" applyBorder="1" applyProtection="1">
      <protection locked="0"/>
    </xf>
    <xf numFmtId="0" fontId="62" fillId="0" borderId="44" xfId="0" applyFont="1" applyBorder="1" applyProtection="1">
      <protection locked="0"/>
    </xf>
    <xf numFmtId="0" fontId="62" fillId="0" borderId="89" xfId="0" applyFont="1" applyBorder="1" applyProtection="1">
      <protection locked="0"/>
    </xf>
    <xf numFmtId="41" fontId="14" fillId="0" borderId="13" xfId="19" applyFont="1" applyBorder="1" applyAlignment="1" applyProtection="1">
      <alignment horizontal="left"/>
      <protection hidden="1"/>
    </xf>
    <xf numFmtId="0" fontId="14" fillId="0" borderId="33" xfId="0" applyFont="1" applyBorder="1" applyProtection="1">
      <protection hidden="1"/>
    </xf>
    <xf numFmtId="0" fontId="14" fillId="0" borderId="13" xfId="0" applyFont="1" applyBorder="1" applyProtection="1">
      <protection hidden="1"/>
    </xf>
    <xf numFmtId="14" fontId="14" fillId="0" borderId="33" xfId="0" applyNumberFormat="1" applyFont="1" applyBorder="1" applyAlignment="1" applyProtection="1">
      <alignment horizontal="left"/>
      <protection hidden="1"/>
    </xf>
    <xf numFmtId="14" fontId="14" fillId="0" borderId="33" xfId="0" applyNumberFormat="1" applyFont="1" applyBorder="1" applyProtection="1">
      <protection hidden="1"/>
    </xf>
    <xf numFmtId="177" fontId="14" fillId="0" borderId="13" xfId="17" applyNumberFormat="1" applyFont="1" applyBorder="1" applyAlignment="1" applyProtection="1">
      <alignment horizontal="left"/>
      <protection hidden="1"/>
    </xf>
    <xf numFmtId="167" fontId="14" fillId="0" borderId="13" xfId="18" applyNumberFormat="1" applyFont="1" applyBorder="1" applyAlignment="1" applyProtection="1">
      <alignment vertical="center"/>
      <protection hidden="1"/>
    </xf>
    <xf numFmtId="177" fontId="14" fillId="0" borderId="13" xfId="17" applyNumberFormat="1" applyFont="1" applyBorder="1" applyProtection="1">
      <protection hidden="1"/>
    </xf>
    <xf numFmtId="177" fontId="14" fillId="0" borderId="33" xfId="17" applyNumberFormat="1" applyFont="1" applyBorder="1" applyProtection="1">
      <protection hidden="1"/>
    </xf>
    <xf numFmtId="0" fontId="27" fillId="0" borderId="4" xfId="0" applyFont="1" applyBorder="1" applyAlignment="1" applyProtection="1">
      <alignment horizontal="left" vertical="center"/>
      <protection hidden="1"/>
    </xf>
    <xf numFmtId="41" fontId="9" fillId="0" borderId="4" xfId="0" applyNumberFormat="1" applyFont="1" applyBorder="1" applyAlignment="1" applyProtection="1">
      <alignment horizontal="left" vertical="center"/>
      <protection hidden="1"/>
    </xf>
    <xf numFmtId="0" fontId="9" fillId="0" borderId="4" xfId="0" applyFont="1" applyBorder="1" applyAlignment="1" applyProtection="1">
      <alignment horizontal="left" vertical="center"/>
      <protection hidden="1"/>
    </xf>
    <xf numFmtId="41" fontId="20" fillId="0" borderId="33" xfId="0" applyNumberFormat="1" applyFont="1" applyBorder="1" applyAlignment="1" applyProtection="1">
      <alignment horizontal="left" vertical="center"/>
      <protection hidden="1"/>
    </xf>
    <xf numFmtId="0" fontId="20" fillId="0" borderId="33" xfId="0" applyFont="1" applyBorder="1" applyAlignment="1" applyProtection="1">
      <alignment horizontal="left" vertical="center"/>
      <protection hidden="1"/>
    </xf>
    <xf numFmtId="14" fontId="14" fillId="0" borderId="13" xfId="0" applyNumberFormat="1" applyFont="1" applyBorder="1" applyAlignment="1" applyProtection="1">
      <alignment horizontal="left" vertical="center"/>
      <protection hidden="1"/>
    </xf>
    <xf numFmtId="0" fontId="51" fillId="43" borderId="4" xfId="0" applyFont="1" applyFill="1" applyBorder="1" applyAlignment="1" applyProtection="1">
      <alignment horizontal="center" vertical="center" wrapText="1"/>
      <protection locked="0"/>
    </xf>
    <xf numFmtId="177" fontId="14" fillId="0" borderId="4" xfId="17" applyNumberFormat="1" applyFont="1" applyBorder="1" applyProtection="1">
      <protection locked="0"/>
    </xf>
    <xf numFmtId="0" fontId="14" fillId="0" borderId="21" xfId="0" applyFont="1" applyBorder="1" applyProtection="1">
      <protection locked="0"/>
    </xf>
    <xf numFmtId="0" fontId="25" fillId="0" borderId="93" xfId="0" applyFont="1" applyBorder="1" applyAlignment="1" applyProtection="1">
      <alignment horizontal="left" vertical="center"/>
      <protection locked="0"/>
    </xf>
    <xf numFmtId="0" fontId="14" fillId="0" borderId="94" xfId="0" applyFont="1" applyBorder="1" applyAlignment="1" applyProtection="1">
      <alignment horizontal="center"/>
      <protection locked="0"/>
    </xf>
    <xf numFmtId="0" fontId="14" fillId="0" borderId="95" xfId="0" applyFont="1" applyBorder="1" applyAlignment="1" applyProtection="1">
      <alignment horizontal="center"/>
      <protection locked="0"/>
    </xf>
    <xf numFmtId="0" fontId="14" fillId="0" borderId="96" xfId="0" applyFont="1" applyBorder="1" applyAlignment="1" applyProtection="1">
      <alignment horizontal="center"/>
      <protection locked="0"/>
    </xf>
    <xf numFmtId="0" fontId="14" fillId="0" borderId="0" xfId="0" applyFont="1" applyAlignment="1" applyProtection="1">
      <alignment horizontal="center"/>
      <protection locked="0"/>
    </xf>
    <xf numFmtId="0" fontId="25" fillId="0" borderId="14" xfId="0" applyFont="1" applyBorder="1" applyAlignment="1" applyProtection="1">
      <alignment horizontal="left" vertical="center"/>
      <protection locked="0"/>
    </xf>
    <xf numFmtId="0" fontId="14" fillId="0" borderId="31" xfId="0" applyFont="1" applyBorder="1" applyAlignment="1" applyProtection="1">
      <alignment horizontal="center"/>
      <protection locked="0"/>
    </xf>
    <xf numFmtId="0" fontId="14" fillId="0" borderId="33" xfId="0" applyFont="1" applyBorder="1" applyAlignment="1" applyProtection="1">
      <alignment horizontal="center"/>
      <protection locked="0"/>
    </xf>
    <xf numFmtId="0" fontId="14" fillId="0" borderId="35" xfId="0" applyFont="1" applyBorder="1" applyAlignment="1" applyProtection="1">
      <alignment horizontal="center"/>
      <protection locked="0"/>
    </xf>
    <xf numFmtId="0" fontId="14" fillId="0" borderId="38" xfId="0" applyFont="1" applyBorder="1" applyAlignment="1" applyProtection="1">
      <alignment horizontal="center" vertical="center"/>
      <protection locked="0"/>
    </xf>
    <xf numFmtId="0" fontId="14" fillId="0" borderId="97" xfId="0" applyFont="1" applyBorder="1" applyAlignment="1" applyProtection="1">
      <alignment horizontal="center" vertical="center"/>
      <protection locked="0"/>
    </xf>
    <xf numFmtId="0" fontId="14" fillId="0" borderId="98" xfId="0" applyFont="1" applyBorder="1" applyAlignment="1" applyProtection="1">
      <alignment horizontal="center" vertical="center"/>
      <protection locked="0"/>
    </xf>
    <xf numFmtId="0" fontId="14" fillId="0" borderId="5" xfId="0" applyFont="1" applyBorder="1" applyAlignment="1" applyProtection="1">
      <alignment horizontal="center" vertical="center"/>
      <protection locked="0"/>
    </xf>
    <xf numFmtId="0" fontId="35" fillId="0" borderId="0" xfId="0" applyFont="1" applyAlignment="1" applyProtection="1">
      <alignment vertical="center" wrapText="1"/>
      <protection locked="0"/>
    </xf>
    <xf numFmtId="0" fontId="14" fillId="0" borderId="39" xfId="0" applyFont="1" applyBorder="1" applyAlignment="1" applyProtection="1">
      <alignment horizontal="center" vertical="center"/>
      <protection locked="0"/>
    </xf>
    <xf numFmtId="0" fontId="14" fillId="0" borderId="40" xfId="0" applyFont="1" applyBorder="1" applyAlignment="1" applyProtection="1">
      <alignment horizontal="center" vertical="center"/>
      <protection locked="0"/>
    </xf>
    <xf numFmtId="0" fontId="14" fillId="0" borderId="19" xfId="0" applyFont="1" applyBorder="1" applyAlignment="1" applyProtection="1">
      <alignment vertical="center"/>
      <protection locked="0"/>
    </xf>
    <xf numFmtId="177" fontId="51" fillId="43" borderId="4" xfId="17" applyNumberFormat="1" applyFont="1" applyFill="1" applyBorder="1" applyAlignment="1" applyProtection="1">
      <alignment horizontal="center" vertical="center" wrapText="1"/>
      <protection locked="0"/>
    </xf>
    <xf numFmtId="0" fontId="69" fillId="0" borderId="99" xfId="0" applyFont="1" applyBorder="1" applyAlignment="1" applyProtection="1">
      <alignment horizontal="left" vertical="center" wrapText="1"/>
      <protection locked="0"/>
    </xf>
    <xf numFmtId="0" fontId="69" fillId="0" borderId="4" xfId="0" applyFont="1" applyBorder="1" applyAlignment="1" applyProtection="1">
      <alignment horizontal="left" vertical="center" wrapText="1"/>
      <protection locked="0"/>
    </xf>
    <xf numFmtId="177" fontId="69" fillId="0" borderId="4" xfId="17" applyNumberFormat="1" applyFont="1" applyFill="1" applyBorder="1" applyAlignment="1" applyProtection="1">
      <alignment horizontal="right" vertical="center" wrapText="1"/>
      <protection locked="0"/>
    </xf>
    <xf numFmtId="177" fontId="69" fillId="0" borderId="4" xfId="17" applyNumberFormat="1" applyFont="1" applyFill="1" applyBorder="1" applyAlignment="1" applyProtection="1">
      <alignment horizontal="right" vertical="center"/>
      <protection locked="0"/>
    </xf>
    <xf numFmtId="10" fontId="69" fillId="0" borderId="4" xfId="2" applyNumberFormat="1" applyFont="1" applyFill="1" applyBorder="1" applyAlignment="1" applyProtection="1">
      <alignment horizontal="right" vertical="center"/>
      <protection locked="0"/>
    </xf>
    <xf numFmtId="0" fontId="69" fillId="0" borderId="4" xfId="0" applyFont="1" applyBorder="1" applyAlignment="1" applyProtection="1">
      <alignment vertical="center" wrapText="1"/>
      <protection locked="0"/>
    </xf>
    <xf numFmtId="10" fontId="69" fillId="0" borderId="4" xfId="2" applyNumberFormat="1" applyFont="1" applyFill="1" applyBorder="1" applyAlignment="1" applyProtection="1">
      <alignment horizontal="center"/>
      <protection locked="0"/>
    </xf>
    <xf numFmtId="0" fontId="69" fillId="0" borderId="93" xfId="0" applyFont="1" applyBorder="1" applyAlignment="1" applyProtection="1">
      <alignment vertical="center" wrapText="1"/>
      <protection locked="0"/>
    </xf>
    <xf numFmtId="0" fontId="69" fillId="0" borderId="4" xfId="0" applyFont="1" applyBorder="1" applyAlignment="1" applyProtection="1">
      <alignment vertical="center"/>
      <protection locked="0"/>
    </xf>
    <xf numFmtId="10" fontId="69" fillId="0" borderId="4" xfId="2" applyNumberFormat="1" applyFont="1" applyFill="1" applyBorder="1" applyProtection="1">
      <protection locked="0"/>
    </xf>
    <xf numFmtId="0" fontId="69" fillId="0" borderId="21" xfId="0" applyFont="1" applyBorder="1" applyProtection="1">
      <protection locked="0"/>
    </xf>
    <xf numFmtId="0" fontId="69" fillId="0" borderId="21" xfId="0" applyFont="1" applyBorder="1" applyAlignment="1" applyProtection="1">
      <alignment horizontal="center"/>
      <protection locked="0"/>
    </xf>
    <xf numFmtId="0" fontId="69" fillId="0" borderId="21" xfId="0" applyFont="1" applyBorder="1" applyAlignment="1" applyProtection="1">
      <alignment horizontal="center" vertical="center"/>
      <protection locked="0"/>
    </xf>
    <xf numFmtId="0" fontId="69" fillId="0" borderId="4" xfId="0" applyFont="1" applyBorder="1" applyAlignment="1" applyProtection="1">
      <alignment horizontal="center"/>
      <protection locked="0"/>
    </xf>
    <xf numFmtId="0" fontId="70" fillId="0" borderId="4" xfId="0" applyFont="1" applyBorder="1" applyAlignment="1" applyProtection="1">
      <alignment vertical="center" wrapText="1"/>
      <protection locked="0"/>
    </xf>
    <xf numFmtId="0" fontId="69" fillId="0" borderId="0" xfId="0" applyFont="1" applyProtection="1">
      <protection locked="0"/>
    </xf>
    <xf numFmtId="10" fontId="69" fillId="0" borderId="21" xfId="2" applyNumberFormat="1" applyFont="1" applyFill="1" applyBorder="1" applyProtection="1">
      <protection locked="0"/>
    </xf>
    <xf numFmtId="0" fontId="70" fillId="0" borderId="21" xfId="0" applyFont="1" applyBorder="1" applyAlignment="1" applyProtection="1">
      <alignment vertical="center" wrapText="1"/>
      <protection locked="0"/>
    </xf>
    <xf numFmtId="0" fontId="69" fillId="0" borderId="4" xfId="0" applyFont="1" applyBorder="1" applyProtection="1">
      <protection locked="0"/>
    </xf>
    <xf numFmtId="0" fontId="69" fillId="0" borderId="4" xfId="0" applyFont="1" applyBorder="1" applyAlignment="1" applyProtection="1">
      <alignment horizontal="center" vertical="center"/>
      <protection locked="0"/>
    </xf>
    <xf numFmtId="10" fontId="50" fillId="0" borderId="4" xfId="2" applyNumberFormat="1" applyFont="1" applyFill="1" applyBorder="1" applyAlignment="1" applyProtection="1">
      <alignment horizontal="right" vertical="center"/>
      <protection locked="0"/>
    </xf>
    <xf numFmtId="0" fontId="14" fillId="0" borderId="4" xfId="0" applyFont="1" applyBorder="1" applyAlignment="1" applyProtection="1">
      <alignment horizontal="center"/>
      <protection locked="0"/>
    </xf>
    <xf numFmtId="177" fontId="14" fillId="0" borderId="14" xfId="17" applyNumberFormat="1" applyFont="1" applyBorder="1" applyProtection="1">
      <protection locked="0"/>
    </xf>
    <xf numFmtId="0" fontId="69" fillId="0" borderId="14" xfId="0" applyFont="1" applyBorder="1" applyProtection="1">
      <protection locked="0"/>
    </xf>
    <xf numFmtId="0" fontId="14" fillId="0" borderId="35" xfId="0" applyFont="1" applyBorder="1" applyProtection="1">
      <protection locked="0"/>
    </xf>
    <xf numFmtId="0" fontId="14" fillId="0" borderId="14" xfId="0" applyFont="1" applyBorder="1" applyAlignment="1" applyProtection="1">
      <alignment horizontal="center"/>
      <protection locked="0"/>
    </xf>
    <xf numFmtId="0" fontId="14" fillId="0" borderId="21" xfId="0" applyFont="1" applyBorder="1" applyAlignment="1" applyProtection="1">
      <alignment horizontal="center"/>
      <protection locked="0"/>
    </xf>
    <xf numFmtId="177" fontId="14" fillId="0" borderId="0" xfId="17" applyNumberFormat="1" applyFont="1" applyProtection="1">
      <protection locked="0"/>
    </xf>
    <xf numFmtId="0" fontId="14" fillId="0" borderId="100" xfId="0" applyFont="1" applyBorder="1" applyAlignment="1" applyProtection="1">
      <alignment horizontal="center" vertical="center"/>
      <protection locked="0"/>
    </xf>
    <xf numFmtId="0" fontId="14" fillId="0" borderId="101" xfId="0" applyFont="1" applyBorder="1" applyAlignment="1" applyProtection="1">
      <alignment horizontal="center" vertical="center"/>
      <protection locked="0"/>
    </xf>
    <xf numFmtId="0" fontId="14" fillId="0" borderId="102" xfId="0" applyFont="1" applyBorder="1" applyAlignment="1" applyProtection="1">
      <alignment horizontal="center" vertical="center"/>
      <protection locked="0"/>
    </xf>
    <xf numFmtId="0" fontId="14" fillId="0" borderId="103" xfId="0" applyFont="1" applyBorder="1" applyAlignment="1" applyProtection="1">
      <alignment horizontal="center" vertical="center"/>
      <protection locked="0"/>
    </xf>
    <xf numFmtId="0" fontId="14" fillId="0" borderId="0" xfId="0" applyFont="1" applyAlignment="1" applyProtection="1">
      <alignment horizontal="center" vertical="center"/>
      <protection locked="0"/>
    </xf>
    <xf numFmtId="0" fontId="14" fillId="0" borderId="26" xfId="0" applyFont="1" applyBorder="1" applyAlignment="1" applyProtection="1">
      <alignment horizontal="center" vertical="center"/>
      <protection locked="0"/>
    </xf>
    <xf numFmtId="0" fontId="14" fillId="0" borderId="104" xfId="0" applyFont="1" applyBorder="1" applyAlignment="1" applyProtection="1">
      <alignment horizontal="center" vertical="center"/>
      <protection locked="0"/>
    </xf>
    <xf numFmtId="0" fontId="14" fillId="0" borderId="2" xfId="0" applyFont="1" applyBorder="1" applyAlignment="1" applyProtection="1">
      <alignment horizontal="center" vertical="center"/>
      <protection locked="0"/>
    </xf>
    <xf numFmtId="0" fontId="14" fillId="0" borderId="3" xfId="0" applyFont="1" applyBorder="1" applyAlignment="1" applyProtection="1">
      <alignment horizontal="center" vertical="center"/>
      <protection locked="0"/>
    </xf>
    <xf numFmtId="0" fontId="28" fillId="20" borderId="9" xfId="0" applyFont="1" applyFill="1" applyBorder="1" applyAlignment="1" applyProtection="1">
      <alignment horizontal="center" vertical="center"/>
      <protection hidden="1"/>
    </xf>
    <xf numFmtId="0" fontId="28" fillId="20" borderId="13" xfId="0" applyFont="1" applyFill="1" applyBorder="1" applyAlignment="1" applyProtection="1">
      <alignment horizontal="center" vertical="center"/>
      <protection hidden="1"/>
    </xf>
    <xf numFmtId="0" fontId="28" fillId="20" borderId="21" xfId="0" applyFont="1" applyFill="1" applyBorder="1" applyAlignment="1" applyProtection="1">
      <alignment horizontal="center" vertical="center"/>
      <protection hidden="1"/>
    </xf>
    <xf numFmtId="0" fontId="35" fillId="44" borderId="9" xfId="0" applyFont="1" applyFill="1" applyBorder="1" applyAlignment="1" applyProtection="1">
      <alignment horizontal="center" vertical="center"/>
      <protection hidden="1"/>
    </xf>
    <xf numFmtId="0" fontId="35" fillId="44" borderId="21" xfId="0" applyFont="1" applyFill="1" applyBorder="1" applyAlignment="1" applyProtection="1">
      <alignment horizontal="center" vertical="center"/>
      <protection hidden="1"/>
    </xf>
    <xf numFmtId="0" fontId="47" fillId="36" borderId="4" xfId="0" applyFont="1" applyFill="1" applyBorder="1" applyAlignment="1" applyProtection="1">
      <alignment vertical="center"/>
      <protection hidden="1"/>
    </xf>
    <xf numFmtId="0" fontId="9" fillId="36" borderId="4" xfId="0" applyFont="1" applyFill="1" applyBorder="1" applyAlignment="1" applyProtection="1">
      <alignment vertical="center"/>
      <protection hidden="1"/>
    </xf>
    <xf numFmtId="0" fontId="47" fillId="13" borderId="4" xfId="0" applyFont="1" applyFill="1" applyBorder="1" applyAlignment="1" applyProtection="1">
      <alignment horizontal="center" vertical="center"/>
      <protection hidden="1"/>
    </xf>
    <xf numFmtId="0" fontId="47" fillId="0" borderId="21" xfId="0" applyFont="1" applyBorder="1" applyAlignment="1" applyProtection="1">
      <alignment horizontal="center" vertical="center"/>
      <protection hidden="1"/>
    </xf>
    <xf numFmtId="0" fontId="47" fillId="36" borderId="93" xfId="0" applyFont="1" applyFill="1" applyBorder="1" applyAlignment="1" applyProtection="1">
      <alignment vertical="center"/>
      <protection hidden="1"/>
    </xf>
    <xf numFmtId="0" fontId="2" fillId="0" borderId="4" xfId="0" applyFont="1" applyBorder="1" applyAlignment="1" applyProtection="1">
      <alignment horizontal="justify" vertical="center"/>
      <protection hidden="1"/>
    </xf>
    <xf numFmtId="0" fontId="10" fillId="0" borderId="4" xfId="0" applyFont="1" applyBorder="1" applyAlignment="1" applyProtection="1">
      <alignment horizontal="justify" vertical="center"/>
      <protection hidden="1"/>
    </xf>
    <xf numFmtId="0" fontId="19" fillId="0" borderId="4" xfId="0" applyFont="1" applyBorder="1" applyAlignment="1" applyProtection="1">
      <alignment horizontal="justify" vertical="center"/>
      <protection hidden="1"/>
    </xf>
    <xf numFmtId="0" fontId="35" fillId="0" borderId="14" xfId="0" applyFont="1" applyBorder="1" applyAlignment="1" applyProtection="1">
      <alignment horizontal="center" vertical="center"/>
      <protection hidden="1"/>
    </xf>
    <xf numFmtId="0" fontId="35" fillId="0" borderId="14" xfId="0" applyFont="1" applyBorder="1" applyAlignment="1" applyProtection="1">
      <alignment horizontal="justify" vertical="center"/>
      <protection hidden="1"/>
    </xf>
    <xf numFmtId="0" fontId="74" fillId="0" borderId="14" xfId="0" applyFont="1" applyBorder="1" applyAlignment="1" applyProtection="1">
      <alignment horizontal="justify" vertical="center"/>
      <protection hidden="1"/>
    </xf>
    <xf numFmtId="0" fontId="47" fillId="13" borderId="4" xfId="0" applyFont="1" applyFill="1" applyBorder="1" applyAlignment="1" applyProtection="1">
      <alignment horizontal="justify" vertical="center"/>
      <protection hidden="1"/>
    </xf>
    <xf numFmtId="170" fontId="47" fillId="13" borderId="4" xfId="0" applyNumberFormat="1" applyFont="1" applyFill="1" applyBorder="1" applyAlignment="1" applyProtection="1">
      <alignment horizontal="center" vertical="center"/>
      <protection hidden="1"/>
    </xf>
    <xf numFmtId="170" fontId="47" fillId="0" borderId="4" xfId="0" applyNumberFormat="1" applyFont="1" applyBorder="1" applyAlignment="1" applyProtection="1">
      <alignment horizontal="justify" vertical="center"/>
      <protection hidden="1"/>
    </xf>
    <xf numFmtId="170" fontId="47" fillId="13" borderId="4" xfId="0" applyNumberFormat="1" applyFont="1" applyFill="1" applyBorder="1" applyAlignment="1" applyProtection="1">
      <alignment horizontal="justify" vertical="center"/>
      <protection hidden="1"/>
    </xf>
    <xf numFmtId="170" fontId="47" fillId="0" borderId="0" xfId="0" applyNumberFormat="1" applyFont="1" applyAlignment="1" applyProtection="1">
      <alignment horizontal="center" vertical="center"/>
      <protection hidden="1"/>
    </xf>
    <xf numFmtId="0" fontId="35" fillId="11" borderId="4" xfId="0" applyFont="1" applyFill="1" applyBorder="1" applyAlignment="1" applyProtection="1">
      <alignment horizontal="justify" vertical="center"/>
      <protection hidden="1"/>
    </xf>
    <xf numFmtId="10" fontId="74" fillId="36" borderId="4" xfId="2" applyNumberFormat="1" applyFont="1" applyFill="1" applyBorder="1" applyAlignment="1" applyProtection="1">
      <alignment horizontal="center" vertical="center"/>
      <protection locked="0"/>
    </xf>
    <xf numFmtId="177" fontId="35" fillId="36" borderId="4" xfId="17" applyNumberFormat="1" applyFont="1" applyFill="1" applyBorder="1" applyAlignment="1" applyProtection="1">
      <alignment vertical="center"/>
      <protection locked="0"/>
    </xf>
    <xf numFmtId="0" fontId="25" fillId="0" borderId="94" xfId="0" applyFont="1" applyBorder="1" applyAlignment="1" applyProtection="1">
      <alignment horizontal="justify" vertical="center" wrapText="1"/>
      <protection locked="0"/>
    </xf>
    <xf numFmtId="0" fontId="25" fillId="0" borderId="95" xfId="0" applyFont="1" applyBorder="1" applyAlignment="1" applyProtection="1">
      <alignment horizontal="justify" vertical="center" wrapText="1"/>
      <protection locked="0"/>
    </xf>
    <xf numFmtId="0" fontId="25" fillId="0" borderId="96" xfId="0" applyFont="1" applyBorder="1" applyAlignment="1" applyProtection="1">
      <alignment horizontal="justify" vertical="center" wrapText="1"/>
      <protection locked="0"/>
    </xf>
    <xf numFmtId="0" fontId="25" fillId="0" borderId="45" xfId="0" applyFont="1" applyBorder="1" applyAlignment="1" applyProtection="1">
      <alignment horizontal="justify" vertical="center" wrapText="1"/>
      <protection locked="0"/>
    </xf>
    <xf numFmtId="0" fontId="25" fillId="0" borderId="0" xfId="0" applyFont="1" applyAlignment="1" applyProtection="1">
      <alignment horizontal="justify" vertical="center" wrapText="1"/>
      <protection locked="0"/>
    </xf>
    <xf numFmtId="0" fontId="25" fillId="0" borderId="46" xfId="0" applyFont="1" applyBorder="1" applyAlignment="1" applyProtection="1">
      <alignment horizontal="justify" vertical="center" wrapText="1"/>
      <protection locked="0"/>
    </xf>
    <xf numFmtId="0" fontId="25" fillId="0" borderId="31" xfId="0" applyFont="1" applyBorder="1" applyAlignment="1" applyProtection="1">
      <alignment horizontal="justify" vertical="center" wrapText="1"/>
      <protection locked="0"/>
    </xf>
    <xf numFmtId="0" fontId="25" fillId="0" borderId="33" xfId="0" applyFont="1" applyBorder="1" applyAlignment="1" applyProtection="1">
      <alignment horizontal="justify" vertical="center" wrapText="1"/>
      <protection locked="0"/>
    </xf>
    <xf numFmtId="0" fontId="25" fillId="0" borderId="35" xfId="0" applyFont="1" applyBorder="1" applyAlignment="1" applyProtection="1">
      <alignment horizontal="justify" vertical="center" wrapText="1"/>
      <protection locked="0"/>
    </xf>
    <xf numFmtId="0" fontId="25" fillId="0" borderId="9" xfId="0" applyFont="1" applyBorder="1" applyAlignment="1" applyProtection="1">
      <alignment horizontal="left" vertical="center" wrapText="1"/>
      <protection locked="0"/>
    </xf>
    <xf numFmtId="0" fontId="25" fillId="0" borderId="13" xfId="0" applyFont="1" applyBorder="1" applyAlignment="1" applyProtection="1">
      <alignment horizontal="left" vertical="center" wrapText="1"/>
      <protection locked="0"/>
    </xf>
    <xf numFmtId="0" fontId="25" fillId="0" borderId="21" xfId="0" applyFont="1" applyBorder="1" applyAlignment="1" applyProtection="1">
      <alignment horizontal="left" vertical="center" wrapText="1"/>
      <protection locked="0"/>
    </xf>
    <xf numFmtId="0" fontId="25" fillId="0" borderId="4" xfId="0" applyFont="1" applyBorder="1" applyAlignment="1" applyProtection="1">
      <alignment horizontal="left" vertical="center" wrapText="1"/>
      <protection locked="0"/>
    </xf>
    <xf numFmtId="0" fontId="25" fillId="0" borderId="94" xfId="0" applyFont="1" applyBorder="1" applyAlignment="1" applyProtection="1">
      <alignment horizontal="left" vertical="center" wrapText="1"/>
      <protection locked="0"/>
    </xf>
    <xf numFmtId="0" fontId="25" fillId="0" borderId="95" xfId="0" applyFont="1" applyBorder="1" applyAlignment="1" applyProtection="1">
      <alignment horizontal="left" vertical="center" wrapText="1"/>
      <protection locked="0"/>
    </xf>
    <xf numFmtId="0" fontId="25" fillId="0" borderId="96" xfId="0" applyFont="1" applyBorder="1" applyAlignment="1" applyProtection="1">
      <alignment horizontal="left" vertical="center" wrapText="1"/>
      <protection locked="0"/>
    </xf>
    <xf numFmtId="0" fontId="25" fillId="0" borderId="94" xfId="0" applyFont="1" applyBorder="1" applyAlignment="1" applyProtection="1">
      <alignment horizontal="center" vertical="center" wrapText="1"/>
      <protection locked="0"/>
    </xf>
    <xf numFmtId="0" fontId="25" fillId="0" borderId="95" xfId="0" applyFont="1" applyBorder="1" applyAlignment="1" applyProtection="1">
      <alignment horizontal="center" vertical="center" wrapText="1"/>
      <protection locked="0"/>
    </xf>
    <xf numFmtId="0" fontId="25" fillId="0" borderId="96" xfId="0" applyFont="1" applyBorder="1" applyAlignment="1" applyProtection="1">
      <alignment horizontal="center" vertical="center" wrapText="1"/>
      <protection locked="0"/>
    </xf>
    <xf numFmtId="0" fontId="25" fillId="0" borderId="31" xfId="0" applyFont="1" applyBorder="1" applyAlignment="1" applyProtection="1">
      <alignment horizontal="left" vertical="center" wrapText="1"/>
      <protection locked="0"/>
    </xf>
    <xf numFmtId="0" fontId="25" fillId="0" borderId="33" xfId="0" applyFont="1" applyBorder="1" applyAlignment="1" applyProtection="1">
      <alignment horizontal="left" vertical="center" wrapText="1"/>
      <protection locked="0"/>
    </xf>
    <xf numFmtId="0" fontId="25" fillId="0" borderId="35" xfId="0" applyFont="1" applyBorder="1" applyAlignment="1" applyProtection="1">
      <alignment horizontal="left" vertical="center" wrapText="1"/>
      <protection locked="0"/>
    </xf>
    <xf numFmtId="0" fontId="25" fillId="0" borderId="31" xfId="0" applyFont="1" applyBorder="1" applyAlignment="1" applyProtection="1">
      <alignment horizontal="center" vertical="center" wrapText="1"/>
      <protection locked="0"/>
    </xf>
    <xf numFmtId="0" fontId="25" fillId="0" borderId="33" xfId="0" applyFont="1" applyBorder="1" applyAlignment="1" applyProtection="1">
      <alignment horizontal="center" vertical="center" wrapText="1"/>
      <protection locked="0"/>
    </xf>
    <xf numFmtId="0" fontId="25" fillId="0" borderId="35" xfId="0" applyFont="1" applyBorder="1" applyAlignment="1" applyProtection="1">
      <alignment horizontal="center" vertical="center" wrapText="1"/>
      <protection locked="0"/>
    </xf>
    <xf numFmtId="0" fontId="25" fillId="0" borderId="9" xfId="0" applyFont="1" applyBorder="1" applyAlignment="1" applyProtection="1">
      <alignment horizontal="center" vertical="center" wrapText="1"/>
      <protection locked="0"/>
    </xf>
    <xf numFmtId="0" fontId="25" fillId="0" borderId="21" xfId="0" applyFont="1" applyBorder="1" applyAlignment="1" applyProtection="1">
      <alignment horizontal="center" vertical="center" wrapText="1"/>
      <protection locked="0"/>
    </xf>
    <xf numFmtId="0" fontId="27" fillId="0" borderId="4" xfId="0" applyFont="1" applyBorder="1" applyAlignment="1" applyProtection="1">
      <alignment horizontal="left" wrapText="1"/>
      <protection hidden="1"/>
    </xf>
    <xf numFmtId="0" fontId="14" fillId="53" borderId="0" xfId="5" applyFont="1" applyFill="1" applyAlignment="1" applyProtection="1">
      <alignment vertical="center" wrapText="1"/>
      <protection hidden="1"/>
    </xf>
    <xf numFmtId="0" fontId="110" fillId="53" borderId="0" xfId="5" applyFont="1" applyFill="1" applyAlignment="1" applyProtection="1">
      <alignment vertical="center" wrapText="1"/>
      <protection hidden="1"/>
    </xf>
    <xf numFmtId="41" fontId="9" fillId="0" borderId="4" xfId="0" applyNumberFormat="1" applyFont="1" applyBorder="1" applyAlignment="1" applyProtection="1">
      <alignment horizontal="left" vertical="center" wrapText="1"/>
      <protection hidden="1"/>
    </xf>
    <xf numFmtId="0" fontId="9" fillId="0" borderId="4" xfId="0" applyFont="1" applyBorder="1" applyAlignment="1" applyProtection="1">
      <alignment horizontal="left" vertical="center" wrapText="1"/>
      <protection hidden="1"/>
    </xf>
    <xf numFmtId="0" fontId="9" fillId="0" borderId="4" xfId="0" applyFont="1" applyBorder="1" applyAlignment="1" applyProtection="1">
      <alignment horizontal="right" vertical="center" wrapText="1"/>
      <protection hidden="1"/>
    </xf>
    <xf numFmtId="0" fontId="14" fillId="53" borderId="4" xfId="5" applyFont="1" applyFill="1" applyBorder="1" applyAlignment="1" applyProtection="1">
      <alignment horizontal="justify" vertical="center" wrapText="1"/>
      <protection hidden="1"/>
    </xf>
    <xf numFmtId="0" fontId="111" fillId="0" borderId="0" xfId="0" applyFont="1" applyAlignment="1" applyProtection="1">
      <alignment horizontal="left" wrapText="1"/>
      <protection hidden="1"/>
    </xf>
    <xf numFmtId="0" fontId="112" fillId="54" borderId="97" xfId="5" applyFont="1" applyFill="1" applyBorder="1" applyAlignment="1" applyProtection="1">
      <alignment horizontal="center" vertical="center" wrapText="1"/>
      <protection hidden="1"/>
    </xf>
    <xf numFmtId="0" fontId="112" fillId="54" borderId="98" xfId="5" applyFont="1" applyFill="1" applyBorder="1" applyAlignment="1" applyProtection="1">
      <alignment horizontal="center" vertical="center" wrapText="1"/>
      <protection hidden="1"/>
    </xf>
    <xf numFmtId="0" fontId="112" fillId="54" borderId="101" xfId="5" applyFont="1" applyFill="1" applyBorder="1" applyAlignment="1" applyProtection="1">
      <alignment horizontal="center" vertical="center" wrapText="1"/>
      <protection hidden="1"/>
    </xf>
    <xf numFmtId="0" fontId="112" fillId="54" borderId="5" xfId="5" applyFont="1" applyFill="1" applyBorder="1" applyAlignment="1" applyProtection="1">
      <alignment horizontal="center" vertical="center" wrapText="1"/>
      <protection hidden="1"/>
    </xf>
    <xf numFmtId="0" fontId="10" fillId="20" borderId="14" xfId="5" applyFont="1" applyFill="1" applyBorder="1" applyAlignment="1" applyProtection="1">
      <alignment horizontal="center" vertical="center" wrapText="1"/>
      <protection hidden="1"/>
    </xf>
    <xf numFmtId="0" fontId="19" fillId="20" borderId="14" xfId="5" applyFont="1" applyFill="1" applyBorder="1" applyAlignment="1" applyProtection="1">
      <alignment horizontal="justify" vertical="center" wrapText="1"/>
      <protection hidden="1"/>
    </xf>
    <xf numFmtId="0" fontId="19" fillId="20" borderId="14" xfId="5" applyFont="1" applyFill="1" applyBorder="1" applyAlignment="1" applyProtection="1">
      <alignment horizontal="center" vertical="center" wrapText="1"/>
      <protection hidden="1"/>
    </xf>
    <xf numFmtId="0" fontId="19" fillId="20" borderId="4" xfId="5" applyFont="1" applyFill="1" applyBorder="1" applyAlignment="1" applyProtection="1">
      <alignment horizontal="center" vertical="center" wrapText="1"/>
      <protection hidden="1"/>
    </xf>
    <xf numFmtId="0" fontId="14" fillId="13" borderId="0" xfId="5" applyFont="1" applyFill="1" applyAlignment="1" applyProtection="1">
      <alignment vertical="center" wrapText="1"/>
      <protection hidden="1"/>
    </xf>
    <xf numFmtId="0" fontId="28" fillId="53" borderId="0" xfId="5" applyFont="1" applyFill="1" applyAlignment="1" applyProtection="1">
      <alignment horizontal="center" vertical="center" wrapText="1"/>
      <protection hidden="1"/>
    </xf>
    <xf numFmtId="3" fontId="20" fillId="53" borderId="4" xfId="5" applyNumberFormat="1" applyFont="1" applyFill="1" applyBorder="1" applyAlignment="1" applyProtection="1">
      <alignment vertical="center" wrapText="1"/>
      <protection hidden="1"/>
    </xf>
    <xf numFmtId="41" fontId="14" fillId="0" borderId="13" xfId="0" applyNumberFormat="1" applyFont="1" applyBorder="1" applyAlignment="1" applyProtection="1">
      <alignment horizontal="left" vertical="center"/>
      <protection hidden="1"/>
    </xf>
    <xf numFmtId="43" fontId="25" fillId="0" borderId="4" xfId="18" applyFont="1" applyBorder="1" applyAlignment="1" applyProtection="1">
      <alignment vertical="center"/>
      <protection locked="0"/>
    </xf>
    <xf numFmtId="43" fontId="14" fillId="0" borderId="4" xfId="18" applyFont="1" applyBorder="1" applyAlignment="1" applyProtection="1">
      <alignment vertical="center"/>
      <protection locked="0"/>
    </xf>
    <xf numFmtId="43" fontId="14" fillId="0" borderId="22" xfId="18" applyFont="1" applyBorder="1" applyAlignment="1" applyProtection="1">
      <alignment vertical="center"/>
      <protection locked="0"/>
    </xf>
    <xf numFmtId="0" fontId="25" fillId="0" borderId="4" xfId="0" applyFont="1" applyBorder="1" applyAlignment="1" applyProtection="1">
      <alignment horizontal="left" vertical="center" wrapText="1"/>
      <protection locked="0"/>
    </xf>
    <xf numFmtId="0" fontId="14" fillId="0" borderId="4" xfId="0" applyFont="1" applyBorder="1" applyAlignment="1" applyProtection="1">
      <alignment horizontal="left" vertical="center" wrapText="1"/>
      <protection locked="0"/>
    </xf>
    <xf numFmtId="0" fontId="25" fillId="0" borderId="17" xfId="0" applyFont="1" applyBorder="1" applyAlignment="1" applyProtection="1">
      <alignment horizontal="left" vertical="center" wrapText="1"/>
      <protection locked="0"/>
    </xf>
    <xf numFmtId="0" fontId="14" fillId="0" borderId="17" xfId="0" applyFont="1" applyBorder="1" applyAlignment="1" applyProtection="1">
      <alignment horizontal="left" vertical="center" wrapText="1"/>
      <protection locked="0"/>
    </xf>
    <xf numFmtId="0" fontId="14" fillId="0" borderId="22" xfId="0" applyFont="1" applyBorder="1" applyAlignment="1" applyProtection="1">
      <alignment horizontal="center" vertical="center"/>
      <protection locked="0"/>
    </xf>
    <xf numFmtId="0" fontId="14" fillId="0" borderId="23" xfId="0" applyFont="1" applyBorder="1" applyAlignment="1" applyProtection="1">
      <alignment horizontal="left" vertical="center" wrapText="1"/>
      <protection locked="0"/>
    </xf>
    <xf numFmtId="43" fontId="25" fillId="0" borderId="11" xfId="18" applyFont="1" applyBorder="1" applyAlignment="1" applyProtection="1">
      <alignment vertical="center"/>
      <protection locked="0"/>
    </xf>
    <xf numFmtId="0" fontId="25" fillId="0" borderId="11" xfId="0" applyFont="1" applyBorder="1" applyAlignment="1" applyProtection="1">
      <alignment horizontal="left" vertical="center" wrapText="1"/>
      <protection locked="0"/>
    </xf>
    <xf numFmtId="0" fontId="14" fillId="0" borderId="22" xfId="0" applyFont="1" applyBorder="1" applyAlignment="1" applyProtection="1">
      <alignment horizontal="left" vertical="center" wrapText="1"/>
      <protection locked="0"/>
    </xf>
    <xf numFmtId="0" fontId="25" fillId="0" borderId="12" xfId="0" applyFont="1" applyBorder="1" applyAlignment="1" applyProtection="1">
      <alignment horizontal="left" vertical="center" wrapText="1"/>
      <protection locked="0"/>
    </xf>
    <xf numFmtId="0" fontId="35" fillId="0" borderId="132" xfId="0" applyFont="1" applyBorder="1" applyAlignment="1" applyProtection="1">
      <alignment horizontal="center" vertical="center"/>
      <protection locked="0"/>
    </xf>
    <xf numFmtId="0" fontId="35" fillId="0" borderId="11" xfId="0" applyFont="1" applyBorder="1" applyAlignment="1" applyProtection="1">
      <alignment horizontal="left" vertical="center" wrapText="1"/>
      <protection locked="0"/>
    </xf>
    <xf numFmtId="0" fontId="35" fillId="0" borderId="12" xfId="0" applyFont="1" applyBorder="1" applyAlignment="1" applyProtection="1">
      <alignment horizontal="left" vertical="center" wrapText="1"/>
      <protection locked="0"/>
    </xf>
    <xf numFmtId="0" fontId="35" fillId="0" borderId="135" xfId="0" applyFont="1" applyBorder="1" applyAlignment="1" applyProtection="1">
      <alignment horizontal="center" vertical="center"/>
      <protection locked="0"/>
    </xf>
    <xf numFmtId="0" fontId="35" fillId="0" borderId="22" xfId="0" applyFont="1" applyBorder="1" applyAlignment="1" applyProtection="1">
      <alignment horizontal="left" vertical="center" wrapText="1"/>
      <protection locked="0"/>
    </xf>
    <xf numFmtId="0" fontId="35" fillId="0" borderId="23" xfId="0" applyFont="1" applyBorder="1" applyAlignment="1" applyProtection="1">
      <alignment horizontal="left" vertical="center" wrapText="1"/>
      <protection locked="0"/>
    </xf>
    <xf numFmtId="0" fontId="14" fillId="0" borderId="10" xfId="0" applyFont="1" applyBorder="1" applyAlignment="1" applyProtection="1">
      <alignment vertical="center"/>
      <protection locked="0"/>
    </xf>
    <xf numFmtId="0" fontId="14" fillId="0" borderId="12" xfId="0" applyFont="1" applyBorder="1" applyAlignment="1" applyProtection="1">
      <alignment vertical="center"/>
      <protection locked="0"/>
    </xf>
    <xf numFmtId="0" fontId="14" fillId="0" borderId="16" xfId="0" applyFont="1" applyBorder="1" applyAlignment="1" applyProtection="1">
      <alignment vertical="center"/>
      <protection locked="0"/>
    </xf>
    <xf numFmtId="0" fontId="14" fillId="0" borderId="17" xfId="0" applyFont="1" applyBorder="1" applyAlignment="1" applyProtection="1">
      <alignment vertical="center"/>
      <protection locked="0"/>
    </xf>
    <xf numFmtId="0" fontId="14" fillId="0" borderId="29" xfId="0" applyFont="1" applyBorder="1" applyAlignment="1" applyProtection="1">
      <alignment vertical="center"/>
      <protection locked="0"/>
    </xf>
    <xf numFmtId="0" fontId="14" fillId="0" borderId="28" xfId="0" applyFont="1" applyBorder="1" applyAlignment="1" applyProtection="1">
      <alignment vertical="center"/>
      <protection locked="0"/>
    </xf>
    <xf numFmtId="0" fontId="14" fillId="0" borderId="48" xfId="0" applyFont="1" applyBorder="1" applyAlignment="1" applyProtection="1">
      <alignment vertical="center"/>
      <protection locked="0"/>
    </xf>
    <xf numFmtId="0" fontId="14" fillId="0" borderId="21" xfId="0" applyFont="1" applyBorder="1" applyAlignment="1" applyProtection="1">
      <alignment vertical="center"/>
      <protection locked="0"/>
    </xf>
    <xf numFmtId="0" fontId="14" fillId="0" borderId="18" xfId="0" applyFont="1" applyBorder="1" applyAlignment="1" applyProtection="1">
      <alignment vertical="center"/>
      <protection locked="0"/>
    </xf>
    <xf numFmtId="0" fontId="14" fillId="0" borderId="23" xfId="0" applyFont="1" applyBorder="1" applyAlignment="1" applyProtection="1">
      <alignment vertical="center"/>
      <protection locked="0"/>
    </xf>
    <xf numFmtId="0" fontId="14" fillId="0" borderId="104" xfId="0" applyFont="1" applyBorder="1" applyAlignment="1" applyProtection="1">
      <alignment horizontal="center" vertical="center"/>
      <protection locked="0"/>
    </xf>
    <xf numFmtId="0" fontId="14" fillId="0" borderId="104" xfId="0" applyFont="1" applyBorder="1" applyAlignment="1" applyProtection="1">
      <alignment horizontal="left" vertical="center" wrapText="1"/>
      <protection locked="0"/>
    </xf>
    <xf numFmtId="0" fontId="14" fillId="0" borderId="3" xfId="0" applyFont="1" applyBorder="1" applyAlignment="1" applyProtection="1">
      <alignment horizontal="left" vertical="center" wrapText="1"/>
      <protection locked="0"/>
    </xf>
    <xf numFmtId="0" fontId="14" fillId="0" borderId="97" xfId="0" applyFont="1" applyBorder="1" applyAlignment="1" applyProtection="1">
      <alignment horizontal="center" vertical="center"/>
      <protection locked="0"/>
    </xf>
    <xf numFmtId="0" fontId="14" fillId="0" borderId="138" xfId="0" applyFont="1" applyBorder="1" applyAlignment="1" applyProtection="1">
      <alignment vertical="center"/>
      <protection locked="0"/>
    </xf>
    <xf numFmtId="0" fontId="14" fillId="0" borderId="5" xfId="0" applyFont="1" applyBorder="1" applyAlignment="1" applyProtection="1">
      <alignment vertical="center"/>
      <protection locked="0"/>
    </xf>
    <xf numFmtId="179" fontId="59" fillId="0" borderId="4" xfId="0" applyNumberFormat="1" applyFont="1" applyBorder="1" applyAlignment="1" applyProtection="1">
      <alignment vertical="center"/>
      <protection hidden="1"/>
    </xf>
    <xf numFmtId="179" fontId="0" fillId="9" borderId="4" xfId="0" applyNumberFormat="1" applyFill="1" applyBorder="1" applyAlignment="1" applyProtection="1">
      <alignment horizontal="left" vertical="center"/>
      <protection hidden="1"/>
    </xf>
    <xf numFmtId="179" fontId="102" fillId="0" borderId="4" xfId="0" applyNumberFormat="1" applyFont="1" applyBorder="1" applyAlignment="1" applyProtection="1">
      <alignment horizontal="center" vertical="center"/>
      <protection hidden="1"/>
    </xf>
    <xf numFmtId="179" fontId="71" fillId="9" borderId="4" xfId="0" applyNumberFormat="1" applyFont="1" applyFill="1" applyBorder="1" applyAlignment="1" applyProtection="1">
      <alignment horizontal="center" vertical="center"/>
      <protection hidden="1"/>
    </xf>
    <xf numFmtId="179" fontId="59" fillId="0" borderId="4" xfId="0" applyNumberFormat="1" applyFont="1" applyBorder="1" applyProtection="1">
      <protection hidden="1"/>
    </xf>
    <xf numFmtId="14" fontId="0" fillId="9" borderId="4" xfId="0" applyNumberFormat="1" applyFill="1" applyBorder="1" applyAlignment="1" applyProtection="1">
      <alignment horizontal="left" vertical="center"/>
      <protection hidden="1"/>
    </xf>
    <xf numFmtId="0" fontId="102" fillId="0" borderId="4" xfId="0" applyFont="1" applyBorder="1" applyAlignment="1" applyProtection="1">
      <alignment horizontal="center" vertical="center"/>
      <protection hidden="1"/>
    </xf>
    <xf numFmtId="0" fontId="71" fillId="36" borderId="4" xfId="0" applyFont="1" applyFill="1" applyBorder="1" applyAlignment="1" applyProtection="1">
      <alignment horizontal="center" vertical="center"/>
      <protection hidden="1"/>
    </xf>
    <xf numFmtId="0" fontId="84" fillId="0" borderId="0" xfId="0" applyFont="1" applyAlignment="1" applyProtection="1">
      <alignment horizontal="center" vertical="center"/>
      <protection hidden="1"/>
    </xf>
    <xf numFmtId="0" fontId="177" fillId="0" borderId="0" xfId="0" applyFont="1" applyAlignment="1" applyProtection="1">
      <alignment horizontal="center" vertical="center"/>
      <protection hidden="1"/>
    </xf>
    <xf numFmtId="0" fontId="87" fillId="0" borderId="9" xfId="0" applyFont="1" applyBorder="1" applyAlignment="1" applyProtection="1">
      <alignment horizontal="center" vertical="center"/>
      <protection hidden="1"/>
    </xf>
    <xf numFmtId="0" fontId="87" fillId="0" borderId="21" xfId="0" applyFont="1" applyBorder="1" applyAlignment="1" applyProtection="1">
      <alignment horizontal="center" vertical="center"/>
      <protection hidden="1"/>
    </xf>
    <xf numFmtId="0" fontId="88" fillId="0" borderId="4" xfId="0" applyFont="1" applyBorder="1" applyAlignment="1" applyProtection="1">
      <alignment horizontal="center" vertical="center" wrapText="1"/>
      <protection hidden="1"/>
    </xf>
    <xf numFmtId="0" fontId="87" fillId="0" borderId="4" xfId="0" applyFont="1" applyBorder="1" applyAlignment="1" applyProtection="1">
      <alignment horizontal="center" vertical="center" wrapText="1"/>
      <protection hidden="1"/>
    </xf>
    <xf numFmtId="0" fontId="88" fillId="25" borderId="9" xfId="0" applyFont="1" applyFill="1" applyBorder="1" applyAlignment="1" applyProtection="1">
      <alignment horizontal="center" vertical="center"/>
      <protection hidden="1"/>
    </xf>
    <xf numFmtId="0" fontId="88" fillId="25" borderId="21" xfId="0" applyFont="1" applyFill="1" applyBorder="1" applyAlignment="1" applyProtection="1">
      <alignment horizontal="center" vertical="center"/>
      <protection hidden="1"/>
    </xf>
    <xf numFmtId="0" fontId="88" fillId="25" borderId="4" xfId="0" applyFont="1" applyFill="1" applyBorder="1" applyAlignment="1" applyProtection="1">
      <alignment horizontal="center" vertical="center"/>
      <protection hidden="1"/>
    </xf>
    <xf numFmtId="0" fontId="179" fillId="25" borderId="4" xfId="0" applyFont="1" applyFill="1" applyBorder="1" applyAlignment="1" applyProtection="1">
      <alignment horizontal="center" vertical="center"/>
      <protection hidden="1"/>
    </xf>
    <xf numFmtId="0" fontId="90" fillId="25" borderId="9" xfId="0" applyFont="1" applyFill="1" applyBorder="1" applyAlignment="1" applyProtection="1">
      <alignment horizontal="center" vertical="center"/>
      <protection hidden="1"/>
    </xf>
    <xf numFmtId="0" fontId="90" fillId="25" borderId="21" xfId="0" applyFont="1" applyFill="1" applyBorder="1" applyAlignment="1" applyProtection="1">
      <alignment horizontal="center" vertical="center"/>
      <protection hidden="1"/>
    </xf>
    <xf numFmtId="0" fontId="90" fillId="25" borderId="93" xfId="0" applyFont="1" applyFill="1" applyBorder="1" applyAlignment="1" applyProtection="1">
      <alignment horizontal="center" vertical="center" wrapText="1"/>
      <protection hidden="1"/>
    </xf>
    <xf numFmtId="170" fontId="92" fillId="0" borderId="4" xfId="2" applyNumberFormat="1" applyFont="1" applyFill="1" applyBorder="1" applyAlignment="1" applyProtection="1">
      <alignment horizontal="center" vertical="center"/>
      <protection hidden="1"/>
    </xf>
    <xf numFmtId="0" fontId="0" fillId="0" borderId="4" xfId="0" applyBorder="1" applyAlignment="1" applyProtection="1">
      <alignment horizontal="left" vertical="center" wrapText="1"/>
      <protection hidden="1"/>
    </xf>
    <xf numFmtId="0" fontId="71" fillId="0" borderId="4" xfId="0" applyFont="1" applyBorder="1" applyAlignment="1" applyProtection="1">
      <alignment horizontal="left" vertical="center" wrapText="1"/>
      <protection hidden="1"/>
    </xf>
    <xf numFmtId="0" fontId="0" fillId="0" borderId="0" xfId="0" applyAlignment="1" applyProtection="1">
      <alignment horizontal="center" vertical="top" wrapText="1"/>
      <protection hidden="1"/>
    </xf>
    <xf numFmtId="0" fontId="78" fillId="25" borderId="9" xfId="0" applyFont="1" applyFill="1" applyBorder="1" applyAlignment="1" applyProtection="1">
      <alignment horizontal="center" vertical="center" wrapText="1"/>
      <protection hidden="1"/>
    </xf>
    <xf numFmtId="0" fontId="78" fillId="25" borderId="13" xfId="0" applyFont="1" applyFill="1" applyBorder="1" applyAlignment="1" applyProtection="1">
      <alignment horizontal="center" vertical="center" wrapText="1"/>
      <protection hidden="1"/>
    </xf>
    <xf numFmtId="0" fontId="78" fillId="25" borderId="21" xfId="0" applyFont="1" applyFill="1" applyBorder="1" applyAlignment="1" applyProtection="1">
      <alignment horizontal="center" vertical="center" wrapText="1"/>
      <protection hidden="1"/>
    </xf>
    <xf numFmtId="0" fontId="78" fillId="12" borderId="9" xfId="0" applyFont="1" applyFill="1" applyBorder="1" applyAlignment="1" applyProtection="1">
      <alignment horizontal="center" vertical="center"/>
      <protection hidden="1"/>
    </xf>
    <xf numFmtId="0" fontId="78" fillId="12" borderId="13" xfId="0" applyFont="1" applyFill="1" applyBorder="1" applyAlignment="1" applyProtection="1">
      <alignment horizontal="center" vertical="center"/>
      <protection hidden="1"/>
    </xf>
    <xf numFmtId="0" fontId="59" fillId="12" borderId="9" xfId="0" applyFont="1" applyFill="1" applyBorder="1" applyAlignment="1" applyProtection="1">
      <alignment horizontal="center" vertical="center"/>
      <protection hidden="1"/>
    </xf>
    <xf numFmtId="0" fontId="59" fillId="12" borderId="21" xfId="0" applyFont="1" applyFill="1" applyBorder="1" applyAlignment="1" applyProtection="1">
      <alignment horizontal="center" vertical="center"/>
      <protection hidden="1"/>
    </xf>
    <xf numFmtId="0" fontId="59" fillId="12" borderId="4" xfId="0" applyFont="1" applyFill="1" applyBorder="1" applyAlignment="1" applyProtection="1">
      <alignment horizontal="center" vertical="center" wrapText="1"/>
      <protection hidden="1"/>
    </xf>
    <xf numFmtId="0" fontId="59" fillId="12" borderId="9" xfId="0" applyFont="1" applyFill="1" applyBorder="1" applyAlignment="1" applyProtection="1">
      <alignment horizontal="center" vertical="center" wrapText="1"/>
      <protection hidden="1"/>
    </xf>
    <xf numFmtId="10" fontId="0" fillId="12" borderId="96" xfId="0" applyNumberFormat="1" applyFill="1" applyBorder="1" applyAlignment="1" applyProtection="1">
      <alignment horizontal="center" vertical="center"/>
      <protection hidden="1"/>
    </xf>
    <xf numFmtId="10" fontId="0" fillId="12" borderId="35" xfId="0" applyNumberFormat="1" applyFill="1" applyBorder="1" applyAlignment="1" applyProtection="1">
      <alignment horizontal="center" vertical="center"/>
      <protection hidden="1"/>
    </xf>
    <xf numFmtId="0" fontId="78" fillId="6" borderId="9" xfId="0" applyFont="1" applyFill="1" applyBorder="1" applyAlignment="1" applyProtection="1">
      <alignment horizontal="center" vertical="center"/>
      <protection hidden="1"/>
    </xf>
    <xf numFmtId="0" fontId="78" fillId="6" borderId="13" xfId="0" applyFont="1" applyFill="1" applyBorder="1" applyAlignment="1" applyProtection="1">
      <alignment horizontal="center" vertical="center"/>
      <protection hidden="1"/>
    </xf>
    <xf numFmtId="0" fontId="59" fillId="6" borderId="9" xfId="0" applyFont="1" applyFill="1" applyBorder="1" applyAlignment="1" applyProtection="1">
      <alignment horizontal="center" vertical="center"/>
      <protection hidden="1"/>
    </xf>
    <xf numFmtId="0" fontId="59" fillId="6" borderId="21" xfId="0" applyFont="1" applyFill="1" applyBorder="1" applyAlignment="1" applyProtection="1">
      <alignment horizontal="center" vertical="center"/>
      <protection hidden="1"/>
    </xf>
    <xf numFmtId="0" fontId="59" fillId="6" borderId="4" xfId="0" applyFont="1" applyFill="1" applyBorder="1" applyAlignment="1" applyProtection="1">
      <alignment horizontal="center" vertical="center" wrapText="1"/>
      <protection hidden="1"/>
    </xf>
    <xf numFmtId="0" fontId="59" fillId="6" borderId="9" xfId="0" applyFont="1" applyFill="1" applyBorder="1" applyAlignment="1" applyProtection="1">
      <alignment horizontal="center" vertical="center" wrapText="1"/>
      <protection hidden="1"/>
    </xf>
    <xf numFmtId="10" fontId="0" fillId="6" borderId="93" xfId="0" applyNumberFormat="1" applyFill="1" applyBorder="1" applyAlignment="1" applyProtection="1">
      <alignment horizontal="center" vertical="center"/>
      <protection hidden="1"/>
    </xf>
    <xf numFmtId="10" fontId="0" fillId="6" borderId="14" xfId="0" applyNumberFormat="1" applyFill="1" applyBorder="1" applyAlignment="1" applyProtection="1">
      <alignment horizontal="center" vertical="center"/>
      <protection hidden="1"/>
    </xf>
    <xf numFmtId="0" fontId="78" fillId="46" borderId="4" xfId="0" applyFont="1" applyFill="1" applyBorder="1" applyAlignment="1" applyProtection="1">
      <alignment horizontal="center" vertical="center"/>
      <protection hidden="1"/>
    </xf>
    <xf numFmtId="0" fontId="59" fillId="46" borderId="4" xfId="0" applyFont="1" applyFill="1" applyBorder="1" applyAlignment="1" applyProtection="1">
      <alignment horizontal="center" vertical="center"/>
      <protection hidden="1"/>
    </xf>
    <xf numFmtId="0" fontId="59" fillId="46" borderId="4" xfId="0" applyFont="1" applyFill="1" applyBorder="1" applyAlignment="1" applyProtection="1">
      <alignment horizontal="center" vertical="center" wrapText="1"/>
      <protection hidden="1"/>
    </xf>
    <xf numFmtId="175" fontId="0" fillId="9" borderId="4" xfId="26" applyNumberFormat="1" applyFont="1" applyFill="1" applyBorder="1" applyAlignment="1" applyProtection="1">
      <alignment horizontal="left" vertical="center" wrapText="1"/>
      <protection hidden="1"/>
    </xf>
    <xf numFmtId="0" fontId="59" fillId="25" borderId="4" xfId="0" applyFont="1" applyFill="1" applyBorder="1" applyAlignment="1" applyProtection="1">
      <alignment horizontal="center" vertical="top" wrapText="1"/>
      <protection hidden="1"/>
    </xf>
    <xf numFmtId="0" fontId="96" fillId="0" borderId="94" xfId="0" applyFont="1" applyBorder="1" applyAlignment="1" applyProtection="1">
      <alignment horizontal="left" vertical="top" wrapText="1"/>
      <protection hidden="1"/>
    </xf>
    <xf numFmtId="0" fontId="96" fillId="0" borderId="95" xfId="0" applyFont="1" applyBorder="1" applyAlignment="1" applyProtection="1">
      <alignment horizontal="left" vertical="top" wrapText="1"/>
      <protection hidden="1"/>
    </xf>
    <xf numFmtId="0" fontId="96" fillId="0" borderId="96" xfId="0" applyFont="1" applyBorder="1" applyAlignment="1" applyProtection="1">
      <alignment horizontal="left" vertical="top" wrapText="1"/>
      <protection hidden="1"/>
    </xf>
    <xf numFmtId="0" fontId="96" fillId="0" borderId="45" xfId="0" applyFont="1" applyBorder="1" applyAlignment="1" applyProtection="1">
      <alignment horizontal="left" vertical="top" wrapText="1"/>
      <protection hidden="1"/>
    </xf>
    <xf numFmtId="0" fontId="96" fillId="0" borderId="0" xfId="0" applyFont="1" applyAlignment="1" applyProtection="1">
      <alignment horizontal="left" vertical="top" wrapText="1"/>
      <protection hidden="1"/>
    </xf>
    <xf numFmtId="0" fontId="96" fillId="0" borderId="46" xfId="0" applyFont="1" applyBorder="1" applyAlignment="1" applyProtection="1">
      <alignment horizontal="left" vertical="top" wrapText="1"/>
      <protection hidden="1"/>
    </xf>
    <xf numFmtId="0" fontId="96" fillId="0" borderId="31" xfId="0" applyFont="1" applyBorder="1" applyAlignment="1" applyProtection="1">
      <alignment horizontal="left" vertical="top" wrapText="1"/>
      <protection hidden="1"/>
    </xf>
    <xf numFmtId="0" fontId="96" fillId="0" borderId="33" xfId="0" applyFont="1" applyBorder="1" applyAlignment="1" applyProtection="1">
      <alignment horizontal="left" vertical="top" wrapText="1"/>
      <protection hidden="1"/>
    </xf>
    <xf numFmtId="0" fontId="96" fillId="0" borderId="35" xfId="0" applyFont="1" applyBorder="1" applyAlignment="1" applyProtection="1">
      <alignment horizontal="left" vertical="top" wrapText="1"/>
      <protection hidden="1"/>
    </xf>
    <xf numFmtId="0" fontId="93" fillId="0" borderId="13" xfId="0" applyFont="1" applyBorder="1" applyAlignment="1" applyProtection="1">
      <alignment horizontal="left" vertical="top" wrapText="1"/>
      <protection hidden="1"/>
    </xf>
    <xf numFmtId="0" fontId="180" fillId="0" borderId="13" xfId="0" applyFont="1" applyBorder="1" applyAlignment="1" applyProtection="1">
      <alignment horizontal="left" vertical="top" wrapText="1"/>
      <protection hidden="1"/>
    </xf>
    <xf numFmtId="0" fontId="84" fillId="25" borderId="4" xfId="0" applyFont="1" applyFill="1" applyBorder="1" applyAlignment="1" applyProtection="1">
      <alignment horizontal="center" vertical="center" wrapText="1"/>
      <protection hidden="1"/>
    </xf>
    <xf numFmtId="0" fontId="84" fillId="25" borderId="93" xfId="0" applyFont="1" applyFill="1" applyBorder="1" applyAlignment="1" applyProtection="1">
      <alignment horizontal="center" vertical="center"/>
      <protection hidden="1"/>
    </xf>
    <xf numFmtId="0" fontId="59" fillId="25" borderId="93" xfId="0" applyFont="1" applyFill="1" applyBorder="1" applyAlignment="1" applyProtection="1">
      <alignment horizontal="center" vertical="center"/>
      <protection hidden="1"/>
    </xf>
    <xf numFmtId="0" fontId="59" fillId="25" borderId="4" xfId="0" applyFont="1" applyFill="1" applyBorder="1" applyAlignment="1" applyProtection="1">
      <alignment horizontal="center" vertical="center" wrapText="1"/>
      <protection hidden="1"/>
    </xf>
    <xf numFmtId="0" fontId="94" fillId="25" borderId="4" xfId="0" applyFont="1" applyFill="1" applyBorder="1" applyAlignment="1" applyProtection="1">
      <alignment horizontal="center" vertical="center" wrapText="1"/>
      <protection hidden="1"/>
    </xf>
    <xf numFmtId="0" fontId="0" fillId="0" borderId="4" xfId="0" applyBorder="1" applyAlignment="1" applyProtection="1">
      <alignment vertical="center"/>
      <protection hidden="1"/>
    </xf>
    <xf numFmtId="9" fontId="0" fillId="0" borderId="4" xfId="0" applyNumberFormat="1" applyBorder="1" applyAlignment="1" applyProtection="1">
      <alignment horizontal="center" vertical="center"/>
      <protection hidden="1"/>
    </xf>
    <xf numFmtId="0" fontId="0" fillId="0" borderId="9" xfId="0" applyBorder="1" applyAlignment="1" applyProtection="1">
      <alignment vertical="center"/>
      <protection hidden="1"/>
    </xf>
    <xf numFmtId="0" fontId="0" fillId="0" borderId="4" xfId="0" applyBorder="1" applyAlignment="1" applyProtection="1">
      <alignment vertical="center" wrapText="1"/>
      <protection hidden="1"/>
    </xf>
    <xf numFmtId="175" fontId="175" fillId="0" borderId="4" xfId="0" applyNumberFormat="1" applyFont="1" applyBorder="1" applyAlignment="1" applyProtection="1">
      <alignment vertical="center" wrapText="1"/>
      <protection hidden="1"/>
    </xf>
    <xf numFmtId="41" fontId="175" fillId="0" borderId="4" xfId="19" applyFont="1" applyBorder="1" applyAlignment="1" applyProtection="1">
      <alignment vertical="center"/>
      <protection hidden="1"/>
    </xf>
    <xf numFmtId="0" fontId="175" fillId="0" borderId="4" xfId="0" applyFont="1" applyBorder="1" applyAlignment="1" applyProtection="1">
      <alignment vertical="center" wrapText="1"/>
      <protection hidden="1"/>
    </xf>
    <xf numFmtId="0" fontId="59" fillId="25" borderId="13" xfId="0" applyFont="1" applyFill="1" applyBorder="1" applyAlignment="1" applyProtection="1">
      <alignment horizontal="center" vertical="center"/>
      <protection hidden="1"/>
    </xf>
    <xf numFmtId="0" fontId="88" fillId="25" borderId="4" xfId="0" applyFont="1" applyFill="1" applyBorder="1" applyAlignment="1" applyProtection="1">
      <alignment horizontal="center" vertical="center"/>
      <protection locked="0"/>
    </xf>
    <xf numFmtId="0" fontId="83" fillId="25" borderId="4" xfId="0" applyFont="1" applyFill="1" applyBorder="1" applyAlignment="1" applyProtection="1">
      <alignment horizontal="center" vertical="center"/>
      <protection locked="0"/>
    </xf>
    <xf numFmtId="0" fontId="92" fillId="20" borderId="4" xfId="0" applyFont="1" applyFill="1" applyBorder="1" applyAlignment="1" applyProtection="1">
      <alignment horizontal="center" vertical="center"/>
      <protection locked="0"/>
    </xf>
    <xf numFmtId="0" fontId="177" fillId="20" borderId="4" xfId="0" applyFont="1" applyFill="1" applyBorder="1" applyAlignment="1" applyProtection="1">
      <alignment horizontal="center" vertical="center"/>
      <protection locked="0"/>
    </xf>
    <xf numFmtId="43" fontId="0" fillId="12" borderId="157" xfId="18" applyFont="1" applyFill="1" applyBorder="1" applyAlignment="1" applyProtection="1">
      <alignment horizontal="center" vertical="center"/>
      <protection locked="0"/>
    </xf>
    <xf numFmtId="43" fontId="0" fillId="12" borderId="158" xfId="18" applyFont="1" applyFill="1" applyBorder="1" applyAlignment="1" applyProtection="1">
      <alignment horizontal="center" vertical="center"/>
      <protection locked="0"/>
    </xf>
    <xf numFmtId="43" fontId="0" fillId="12" borderId="31" xfId="18" applyFont="1" applyFill="1" applyBorder="1" applyAlignment="1" applyProtection="1">
      <alignment horizontal="center" vertical="center"/>
      <protection locked="0"/>
    </xf>
    <xf numFmtId="43" fontId="0" fillId="12" borderId="35" xfId="18" applyFont="1" applyFill="1" applyBorder="1" applyAlignment="1" applyProtection="1">
      <alignment horizontal="center" vertical="center"/>
      <protection locked="0"/>
    </xf>
    <xf numFmtId="43" fontId="0" fillId="6" borderId="94" xfId="18" applyFont="1" applyFill="1" applyBorder="1" applyAlignment="1" applyProtection="1">
      <alignment horizontal="center" vertical="center"/>
      <protection locked="0"/>
    </xf>
    <xf numFmtId="43" fontId="0" fillId="6" borderId="96" xfId="18" applyFont="1" applyFill="1" applyBorder="1" applyAlignment="1" applyProtection="1">
      <alignment horizontal="center" vertical="center"/>
      <protection locked="0"/>
    </xf>
    <xf numFmtId="43" fontId="0" fillId="6" borderId="31" xfId="18" applyFont="1" applyFill="1" applyBorder="1" applyAlignment="1" applyProtection="1">
      <alignment horizontal="center" vertical="center"/>
      <protection locked="0"/>
    </xf>
    <xf numFmtId="43" fontId="0" fillId="6" borderId="35" xfId="18" applyFont="1" applyFill="1" applyBorder="1" applyAlignment="1" applyProtection="1">
      <alignment horizontal="center" vertical="center"/>
      <protection locked="0"/>
    </xf>
    <xf numFmtId="179" fontId="59" fillId="0" borderId="4" xfId="0" applyNumberFormat="1" applyFont="1" applyBorder="1" applyAlignment="1" applyProtection="1">
      <alignment horizontal="center" vertical="center"/>
      <protection locked="0"/>
    </xf>
    <xf numFmtId="179" fontId="59" fillId="0" borderId="4" xfId="0" applyNumberFormat="1" applyFont="1" applyBorder="1" applyAlignment="1" applyProtection="1">
      <alignment horizontal="center" vertical="center"/>
      <protection locked="0"/>
    </xf>
    <xf numFmtId="179" fontId="59" fillId="0" borderId="9" xfId="0" applyNumberFormat="1" applyFont="1" applyBorder="1" applyAlignment="1" applyProtection="1">
      <alignment horizontal="center" vertical="center"/>
      <protection locked="0"/>
    </xf>
    <xf numFmtId="0" fontId="59" fillId="0" borderId="4" xfId="0" applyFont="1" applyBorder="1" applyAlignment="1" applyProtection="1">
      <alignment horizontal="center" vertical="center"/>
      <protection locked="0"/>
    </xf>
    <xf numFmtId="179" fontId="0" fillId="9" borderId="4" xfId="0" applyNumberFormat="1" applyFill="1" applyBorder="1" applyAlignment="1" applyProtection="1">
      <alignment horizontal="center" vertical="center"/>
      <protection locked="0"/>
    </xf>
    <xf numFmtId="179" fontId="0" fillId="9" borderId="9" xfId="0" applyNumberFormat="1" applyFill="1" applyBorder="1" applyAlignment="1" applyProtection="1">
      <alignment horizontal="center" vertical="center"/>
      <protection locked="0"/>
    </xf>
    <xf numFmtId="0" fontId="160" fillId="64" borderId="10" xfId="33" applyFont="1" applyFill="1" applyBorder="1" applyAlignment="1" applyProtection="1">
      <alignment horizontal="center" vertical="center" wrapText="1"/>
      <protection hidden="1"/>
    </xf>
    <xf numFmtId="0" fontId="160" fillId="64" borderId="11" xfId="33" applyFont="1" applyFill="1" applyBorder="1" applyAlignment="1" applyProtection="1">
      <alignment horizontal="center" vertical="center" wrapText="1"/>
      <protection hidden="1"/>
    </xf>
    <xf numFmtId="0" fontId="160" fillId="64" borderId="12" xfId="33" applyFont="1" applyFill="1" applyBorder="1" applyAlignment="1" applyProtection="1">
      <alignment horizontal="center" vertical="center" wrapText="1"/>
      <protection hidden="1"/>
    </xf>
    <xf numFmtId="0" fontId="51" fillId="64" borderId="48" xfId="33" applyFont="1" applyFill="1" applyBorder="1" applyAlignment="1" applyProtection="1">
      <alignment horizontal="center" vertical="center" wrapText="1"/>
      <protection hidden="1"/>
    </xf>
    <xf numFmtId="0" fontId="51" fillId="64" borderId="11" xfId="33" applyFont="1" applyFill="1" applyBorder="1" applyAlignment="1" applyProtection="1">
      <alignment horizontal="center" vertical="center" wrapText="1"/>
      <protection hidden="1"/>
    </xf>
    <xf numFmtId="0" fontId="51" fillId="64" borderId="8" xfId="33" applyFont="1" applyFill="1" applyBorder="1" applyAlignment="1" applyProtection="1">
      <alignment horizontal="center" vertical="center" wrapText="1"/>
      <protection hidden="1"/>
    </xf>
    <xf numFmtId="0" fontId="160" fillId="64" borderId="8" xfId="33" applyFont="1" applyFill="1" applyBorder="1" applyAlignment="1" applyProtection="1">
      <alignment horizontal="center" vertical="center" wrapText="1"/>
      <protection hidden="1"/>
    </xf>
    <xf numFmtId="0" fontId="51" fillId="64" borderId="29" xfId="33" applyFont="1" applyFill="1" applyBorder="1" applyAlignment="1" applyProtection="1">
      <alignment horizontal="center" vertical="center" wrapText="1"/>
      <protection hidden="1"/>
    </xf>
    <xf numFmtId="0" fontId="51" fillId="64" borderId="20" xfId="33" applyFont="1" applyFill="1" applyBorder="1" applyAlignment="1" applyProtection="1">
      <alignment horizontal="center" vertical="center" wrapText="1"/>
      <protection hidden="1"/>
    </xf>
    <xf numFmtId="0" fontId="51" fillId="64" borderId="28" xfId="33" applyFont="1" applyFill="1" applyBorder="1" applyAlignment="1" applyProtection="1">
      <alignment horizontal="center" vertical="center" wrapText="1"/>
      <protection hidden="1"/>
    </xf>
    <xf numFmtId="0" fontId="51" fillId="64" borderId="96" xfId="33" applyFont="1" applyFill="1" applyBorder="1" applyAlignment="1" applyProtection="1">
      <alignment horizontal="center" vertical="center" wrapText="1"/>
      <protection hidden="1"/>
    </xf>
    <xf numFmtId="0" fontId="51" fillId="64" borderId="20" xfId="33" applyFont="1" applyFill="1" applyBorder="1" applyAlignment="1" applyProtection="1">
      <alignment horizontal="center" vertical="center" wrapText="1"/>
      <protection hidden="1"/>
    </xf>
    <xf numFmtId="0" fontId="51" fillId="64" borderId="134" xfId="33" applyFont="1" applyFill="1" applyBorder="1" applyAlignment="1" applyProtection="1">
      <alignment horizontal="center" vertical="center" wrapText="1"/>
      <protection hidden="1"/>
    </xf>
    <xf numFmtId="0" fontId="160" fillId="64" borderId="134" xfId="33" applyFont="1" applyFill="1" applyBorder="1" applyAlignment="1" applyProtection="1">
      <alignment horizontal="center" vertical="center" wrapText="1"/>
      <protection hidden="1"/>
    </xf>
    <xf numFmtId="0" fontId="117" fillId="0" borderId="10" xfId="5" applyFont="1" applyBorder="1" applyAlignment="1" applyProtection="1">
      <alignment horizontal="center" vertical="center" wrapText="1"/>
      <protection hidden="1"/>
    </xf>
    <xf numFmtId="0" fontId="53" fillId="0" borderId="11" xfId="5" applyFont="1" applyBorder="1" applyAlignment="1" applyProtection="1">
      <alignment horizontal="justify" vertical="center" wrapText="1"/>
      <protection hidden="1"/>
    </xf>
    <xf numFmtId="0" fontId="53" fillId="0" borderId="11" xfId="5" applyFont="1" applyBorder="1" applyAlignment="1" applyProtection="1">
      <alignment horizontal="center" vertical="center" wrapText="1"/>
      <protection hidden="1"/>
    </xf>
    <xf numFmtId="0" fontId="19" fillId="0" borderId="11" xfId="0" applyFont="1" applyBorder="1" applyAlignment="1" applyProtection="1">
      <alignment horizontal="center" vertical="center" wrapText="1"/>
      <protection hidden="1"/>
    </xf>
    <xf numFmtId="0" fontId="53" fillId="0" borderId="11" xfId="5" applyFont="1" applyBorder="1" applyAlignment="1" applyProtection="1">
      <alignment horizontal="center" vertical="center" wrapText="1"/>
      <protection hidden="1"/>
    </xf>
    <xf numFmtId="10" fontId="110" fillId="0" borderId="12" xfId="5" applyNumberFormat="1" applyFont="1" applyBorder="1" applyAlignment="1" applyProtection="1">
      <alignment horizontal="center" vertical="center"/>
      <protection hidden="1"/>
    </xf>
    <xf numFmtId="0" fontId="117" fillId="0" borderId="16" xfId="5" applyFont="1" applyBorder="1" applyAlignment="1" applyProtection="1">
      <alignment horizontal="center" vertical="center" wrapText="1"/>
      <protection hidden="1"/>
    </xf>
    <xf numFmtId="0" fontId="53" fillId="0" borderId="4" xfId="5" applyFont="1" applyBorder="1" applyAlignment="1" applyProtection="1">
      <alignment horizontal="justify" vertical="center" wrapText="1"/>
      <protection hidden="1"/>
    </xf>
    <xf numFmtId="0" fontId="53" fillId="0" borderId="4" xfId="5" applyFont="1" applyBorder="1" applyAlignment="1" applyProtection="1">
      <alignment horizontal="center" vertical="center" wrapText="1"/>
      <protection hidden="1"/>
    </xf>
    <xf numFmtId="0" fontId="19" fillId="0" borderId="4" xfId="0" applyFont="1" applyBorder="1" applyAlignment="1" applyProtection="1">
      <alignment horizontal="center" vertical="center" wrapText="1"/>
      <protection hidden="1"/>
    </xf>
    <xf numFmtId="0" fontId="53" fillId="0" borderId="4" xfId="5" applyFont="1" applyBorder="1" applyAlignment="1" applyProtection="1">
      <alignment horizontal="center" vertical="center" wrapText="1"/>
      <protection hidden="1"/>
    </xf>
    <xf numFmtId="10" fontId="110" fillId="0" borderId="17" xfId="5" applyNumberFormat="1" applyFont="1" applyBorder="1" applyAlignment="1" applyProtection="1">
      <alignment horizontal="center" vertical="center"/>
      <protection hidden="1"/>
    </xf>
    <xf numFmtId="0" fontId="27" fillId="0" borderId="16" xfId="5" applyFont="1" applyBorder="1" applyAlignment="1" applyProtection="1">
      <alignment horizontal="center" vertical="center" wrapText="1"/>
      <protection hidden="1"/>
    </xf>
    <xf numFmtId="0" fontId="9" fillId="0" borderId="4" xfId="5" applyFont="1" applyBorder="1" applyAlignment="1" applyProtection="1">
      <alignment horizontal="justify" vertical="center" wrapText="1"/>
      <protection hidden="1"/>
    </xf>
    <xf numFmtId="0" fontId="9" fillId="0" borderId="4" xfId="5" applyFont="1" applyBorder="1" applyAlignment="1" applyProtection="1">
      <alignment horizontal="center" vertical="center" wrapText="1"/>
      <protection hidden="1"/>
    </xf>
    <xf numFmtId="0" fontId="53" fillId="0" borderId="20" xfId="5" applyFont="1" applyBorder="1" applyAlignment="1" applyProtection="1">
      <alignment horizontal="justify" vertical="center" wrapText="1"/>
      <protection hidden="1"/>
    </xf>
    <xf numFmtId="0" fontId="53" fillId="0" borderId="14" xfId="5" applyFont="1" applyBorder="1" applyAlignment="1" applyProtection="1">
      <alignment horizontal="justify" vertical="center" wrapText="1"/>
      <protection hidden="1"/>
    </xf>
    <xf numFmtId="0" fontId="117" fillId="0" borderId="25" xfId="5" applyFont="1" applyBorder="1" applyAlignment="1" applyProtection="1">
      <alignment horizontal="center" vertical="center" wrapText="1"/>
      <protection hidden="1"/>
    </xf>
    <xf numFmtId="0" fontId="53" fillId="0" borderId="22" xfId="5" applyFont="1" applyBorder="1" applyAlignment="1" applyProtection="1">
      <alignment horizontal="justify" vertical="center" wrapText="1"/>
      <protection hidden="1"/>
    </xf>
    <xf numFmtId="0" fontId="53" fillId="0" borderId="22" xfId="5" applyFont="1" applyBorder="1" applyAlignment="1" applyProtection="1">
      <alignment horizontal="center" vertical="center" wrapText="1"/>
      <protection hidden="1"/>
    </xf>
    <xf numFmtId="0" fontId="19" fillId="0" borderId="22" xfId="0" applyFont="1" applyBorder="1" applyAlignment="1" applyProtection="1">
      <alignment horizontal="center" vertical="center" wrapText="1"/>
      <protection hidden="1"/>
    </xf>
    <xf numFmtId="0" fontId="53" fillId="0" borderId="22" xfId="5" applyFont="1" applyBorder="1" applyAlignment="1" applyProtection="1">
      <alignment horizontal="center" vertical="center" wrapText="1"/>
      <protection hidden="1"/>
    </xf>
    <xf numFmtId="10" fontId="110" fillId="0" borderId="23" xfId="5" applyNumberFormat="1" applyFont="1" applyBorder="1" applyAlignment="1" applyProtection="1">
      <alignment horizontal="center" vertical="center"/>
      <protection hidden="1"/>
    </xf>
    <xf numFmtId="0" fontId="117" fillId="0" borderId="11" xfId="5" applyFont="1" applyBorder="1" applyAlignment="1" applyProtection="1">
      <alignment horizontal="justify" vertical="center" wrapText="1"/>
      <protection hidden="1"/>
    </xf>
    <xf numFmtId="0" fontId="65" fillId="0" borderId="11" xfId="5" applyFont="1" applyBorder="1" applyAlignment="1" applyProtection="1">
      <alignment vertical="center" wrapText="1"/>
      <protection hidden="1"/>
    </xf>
    <xf numFmtId="0" fontId="53" fillId="0" borderId="11" xfId="5" applyFont="1" applyBorder="1" applyAlignment="1" applyProtection="1">
      <alignment vertical="center" wrapText="1"/>
      <protection hidden="1"/>
    </xf>
    <xf numFmtId="10" fontId="53" fillId="15" borderId="4" xfId="2" applyNumberFormat="1" applyFont="1" applyFill="1" applyBorder="1" applyAlignment="1" applyProtection="1">
      <alignment horizontal="center" vertical="center" wrapText="1"/>
      <protection locked="0"/>
    </xf>
    <xf numFmtId="9" fontId="53" fillId="15" borderId="4" xfId="2" applyFont="1" applyFill="1" applyBorder="1" applyAlignment="1" applyProtection="1">
      <alignment horizontal="center" vertical="center" wrapText="1"/>
      <protection locked="0"/>
    </xf>
    <xf numFmtId="10" fontId="53" fillId="15" borderId="22" xfId="2" applyNumberFormat="1" applyFont="1" applyFill="1" applyBorder="1" applyAlignment="1" applyProtection="1">
      <alignment horizontal="center" vertical="center" wrapText="1"/>
      <protection locked="0"/>
    </xf>
    <xf numFmtId="10" fontId="53" fillId="15" borderId="11" xfId="2" applyNumberFormat="1" applyFont="1" applyFill="1" applyBorder="1" applyAlignment="1" applyProtection="1">
      <alignment horizontal="center" vertical="center" wrapText="1"/>
      <protection locked="0"/>
    </xf>
    <xf numFmtId="0" fontId="53" fillId="0" borderId="11" xfId="5" applyFont="1" applyBorder="1" applyAlignment="1" applyProtection="1">
      <alignment horizontal="justify" vertical="center" wrapText="1"/>
    </xf>
    <xf numFmtId="0" fontId="53" fillId="0" borderId="4" xfId="5" applyFont="1" applyBorder="1" applyAlignment="1" applyProtection="1">
      <alignment horizontal="justify" vertical="center" wrapText="1"/>
    </xf>
    <xf numFmtId="0" fontId="9" fillId="0" borderId="4" xfId="5" applyFont="1" applyBorder="1" applyAlignment="1" applyProtection="1">
      <alignment horizontal="justify" vertical="center" wrapText="1"/>
    </xf>
    <xf numFmtId="0" fontId="53" fillId="0" borderId="22" xfId="5" applyFont="1" applyBorder="1" applyAlignment="1" applyProtection="1">
      <alignment horizontal="justify" vertical="center" wrapText="1"/>
    </xf>
    <xf numFmtId="0" fontId="117" fillId="0" borderId="11" xfId="5" applyFont="1" applyBorder="1" applyAlignment="1" applyProtection="1">
      <alignment horizontal="center" vertical="center" wrapText="1"/>
    </xf>
    <xf numFmtId="0" fontId="25" fillId="29" borderId="138" xfId="0" applyFont="1" applyFill="1" applyBorder="1" applyAlignment="1" applyProtection="1">
      <alignment horizontal="center" vertical="center" wrapText="1"/>
      <protection hidden="1"/>
    </xf>
    <xf numFmtId="0" fontId="25" fillId="29" borderId="135" xfId="0" applyFont="1" applyFill="1" applyBorder="1" applyAlignment="1" applyProtection="1">
      <alignment horizontal="center" vertical="center" wrapText="1"/>
      <protection hidden="1"/>
    </xf>
    <xf numFmtId="0" fontId="25" fillId="29" borderId="51" xfId="0" applyFont="1" applyFill="1" applyBorder="1" applyAlignment="1" applyProtection="1">
      <alignment horizontal="center" vertical="center" wrapText="1"/>
      <protection hidden="1"/>
    </xf>
    <xf numFmtId="0" fontId="25" fillId="29" borderId="132" xfId="0" applyFont="1" applyFill="1" applyBorder="1" applyAlignment="1" applyProtection="1">
      <alignment horizontal="center" vertical="center" wrapText="1"/>
      <protection hidden="1"/>
    </xf>
    <xf numFmtId="0" fontId="14" fillId="0" borderId="138" xfId="0" applyFont="1" applyBorder="1" applyAlignment="1" applyProtection="1">
      <alignment horizontal="center" vertical="center"/>
      <protection hidden="1"/>
    </xf>
    <xf numFmtId="0" fontId="36" fillId="14" borderId="139" xfId="0" applyFont="1" applyFill="1" applyBorder="1" applyAlignment="1" applyProtection="1">
      <alignment vertical="center" wrapText="1"/>
      <protection locked="0"/>
    </xf>
    <xf numFmtId="0" fontId="14" fillId="0" borderId="139" xfId="0" applyFont="1" applyBorder="1" applyAlignment="1" applyProtection="1">
      <alignment horizontal="left" vertical="center" wrapText="1"/>
      <protection locked="0"/>
    </xf>
    <xf numFmtId="0" fontId="25" fillId="29" borderId="139" xfId="0" applyFont="1" applyFill="1" applyBorder="1" applyAlignment="1" applyProtection="1">
      <alignment horizontal="center" vertical="center" wrapText="1"/>
      <protection locked="0"/>
    </xf>
    <xf numFmtId="0" fontId="14" fillId="0" borderId="22" xfId="0" applyFont="1" applyBorder="1" applyAlignment="1" applyProtection="1">
      <alignment horizontal="left" vertical="center" wrapText="1"/>
      <protection locked="0"/>
    </xf>
    <xf numFmtId="164" fontId="14" fillId="20" borderId="139" xfId="14" applyFont="1" applyFill="1" applyBorder="1" applyAlignment="1" applyProtection="1">
      <alignment vertical="center"/>
      <protection locked="0"/>
    </xf>
    <xf numFmtId="0" fontId="36" fillId="14" borderId="47" xfId="0" applyFont="1" applyFill="1" applyBorder="1" applyAlignment="1" applyProtection="1">
      <alignment vertical="center" wrapText="1"/>
      <protection locked="0"/>
    </xf>
    <xf numFmtId="164" fontId="14" fillId="20" borderId="24" xfId="14" applyFont="1" applyFill="1" applyBorder="1" applyAlignment="1" applyProtection="1">
      <alignment vertical="center"/>
      <protection locked="0"/>
    </xf>
    <xf numFmtId="0" fontId="36" fillId="14" borderId="24" xfId="0" applyFont="1" applyFill="1" applyBorder="1" applyAlignment="1" applyProtection="1">
      <alignment horizontal="justify" vertical="center" wrapText="1"/>
      <protection locked="0"/>
    </xf>
    <xf numFmtId="0" fontId="36" fillId="14" borderId="139" xfId="0" applyFont="1" applyFill="1" applyBorder="1" applyAlignment="1" applyProtection="1">
      <alignment horizontal="justify" vertical="center" wrapText="1"/>
      <protection locked="0"/>
    </xf>
    <xf numFmtId="164" fontId="14" fillId="20" borderId="14" xfId="14" applyFont="1" applyFill="1" applyBorder="1" applyAlignment="1" applyProtection="1">
      <alignment vertical="center"/>
      <protection locked="0"/>
    </xf>
    <xf numFmtId="0" fontId="14" fillId="14" borderId="7" xfId="0" applyFont="1" applyFill="1" applyBorder="1" applyAlignment="1" applyProtection="1">
      <alignment horizontal="left" vertical="center" wrapText="1"/>
      <protection locked="0"/>
    </xf>
    <xf numFmtId="164" fontId="14" fillId="20" borderId="7" xfId="14" applyFont="1" applyFill="1" applyBorder="1" applyAlignment="1" applyProtection="1">
      <alignment vertical="center"/>
      <protection locked="0"/>
    </xf>
    <xf numFmtId="0" fontId="14" fillId="14" borderId="139" xfId="0" applyFont="1" applyFill="1" applyBorder="1" applyAlignment="1" applyProtection="1">
      <alignment horizontal="left" vertical="center" wrapText="1"/>
      <protection locked="0"/>
    </xf>
    <xf numFmtId="0" fontId="14" fillId="14" borderId="24" xfId="0" applyFont="1" applyFill="1" applyBorder="1" applyAlignment="1" applyProtection="1">
      <alignment horizontal="left" vertical="center" wrapText="1"/>
      <protection locked="0"/>
    </xf>
    <xf numFmtId="0" fontId="14" fillId="29" borderId="139" xfId="0" applyFont="1" applyFill="1" applyBorder="1" applyAlignment="1" applyProtection="1">
      <alignment horizontal="left" vertical="center" wrapText="1"/>
      <protection locked="0"/>
    </xf>
    <xf numFmtId="0" fontId="14" fillId="29" borderId="47" xfId="0" applyFont="1" applyFill="1" applyBorder="1" applyAlignment="1" applyProtection="1">
      <alignment horizontal="left" vertical="center" wrapText="1"/>
      <protection locked="0"/>
    </xf>
    <xf numFmtId="0" fontId="14" fillId="29" borderId="24" xfId="0" applyFont="1" applyFill="1" applyBorder="1" applyAlignment="1" applyProtection="1">
      <alignment horizontal="left" vertical="center" wrapText="1"/>
      <protection locked="0"/>
    </xf>
    <xf numFmtId="0" fontId="14" fillId="29" borderId="7" xfId="0" applyFont="1" applyFill="1" applyBorder="1" applyAlignment="1" applyProtection="1">
      <alignment horizontal="left" vertical="center" wrapText="1"/>
      <protection locked="0"/>
    </xf>
    <xf numFmtId="0" fontId="25" fillId="20" borderId="139" xfId="0" applyFont="1" applyFill="1" applyBorder="1" applyAlignment="1" applyProtection="1">
      <alignment horizontal="left" vertical="center"/>
      <protection locked="0"/>
    </xf>
    <xf numFmtId="0" fontId="14" fillId="20" borderId="140" xfId="0" applyFont="1" applyFill="1" applyBorder="1" applyAlignment="1" applyProtection="1">
      <alignment horizontal="center" vertical="center"/>
      <protection locked="0"/>
    </xf>
    <xf numFmtId="0" fontId="25" fillId="0" borderId="102" xfId="0" applyFont="1" applyBorder="1" applyAlignment="1" applyProtection="1">
      <alignment horizontal="left" vertical="center" wrapText="1"/>
      <protection locked="0"/>
    </xf>
    <xf numFmtId="0" fontId="25" fillId="20" borderId="47" xfId="0" applyFont="1" applyFill="1" applyBorder="1" applyAlignment="1" applyProtection="1">
      <alignment horizontal="left" vertical="center"/>
      <protection locked="0"/>
    </xf>
    <xf numFmtId="0" fontId="14" fillId="20" borderId="47" xfId="0" applyFont="1" applyFill="1" applyBorder="1" applyAlignment="1" applyProtection="1">
      <alignment horizontal="center" vertical="center"/>
      <protection locked="0"/>
    </xf>
    <xf numFmtId="0" fontId="25" fillId="0" borderId="140" xfId="0" applyFont="1" applyBorder="1" applyAlignment="1" applyProtection="1">
      <alignment horizontal="left" vertical="center" wrapText="1"/>
      <protection locked="0"/>
    </xf>
    <xf numFmtId="0" fontId="25" fillId="20" borderId="24" xfId="0" applyFont="1" applyFill="1" applyBorder="1" applyAlignment="1" applyProtection="1">
      <alignment horizontal="left" vertical="center"/>
      <protection locked="0"/>
    </xf>
    <xf numFmtId="0" fontId="14" fillId="20" borderId="24" xfId="0" applyFont="1" applyFill="1" applyBorder="1" applyAlignment="1" applyProtection="1">
      <alignment horizontal="center" vertical="center"/>
      <protection locked="0"/>
    </xf>
    <xf numFmtId="0" fontId="25" fillId="0" borderId="134" xfId="0" applyFont="1" applyBorder="1" applyAlignment="1" applyProtection="1">
      <alignment horizontal="left" vertical="center" wrapText="1"/>
      <protection locked="0"/>
    </xf>
    <xf numFmtId="0" fontId="14" fillId="20" borderId="139" xfId="0" applyFont="1" applyFill="1" applyBorder="1" applyAlignment="1" applyProtection="1">
      <alignment horizontal="center" vertical="center"/>
      <protection locked="0"/>
    </xf>
    <xf numFmtId="0" fontId="25" fillId="20" borderId="7" xfId="0" applyFont="1" applyFill="1" applyBorder="1" applyAlignment="1" applyProtection="1">
      <alignment horizontal="left" vertical="center"/>
      <protection locked="0"/>
    </xf>
    <xf numFmtId="0" fontId="14" fillId="20" borderId="7" xfId="0" applyFont="1" applyFill="1" applyBorder="1" applyAlignment="1" applyProtection="1">
      <alignment horizontal="center" vertical="center"/>
      <protection locked="0"/>
    </xf>
    <xf numFmtId="0" fontId="25" fillId="0" borderId="8" xfId="0" applyFont="1" applyBorder="1" applyAlignment="1" applyProtection="1">
      <alignment horizontal="left" vertical="center" wrapText="1"/>
      <protection locked="0"/>
    </xf>
    <xf numFmtId="0" fontId="14" fillId="0" borderId="0" xfId="0" applyFont="1" applyAlignment="1" applyProtection="1">
      <alignment horizontal="left" vertical="center"/>
    </xf>
    <xf numFmtId="0" fontId="14" fillId="0" borderId="0" xfId="0" applyFont="1" applyAlignment="1" applyProtection="1">
      <alignment vertical="center"/>
    </xf>
    <xf numFmtId="0" fontId="14" fillId="0" borderId="0" xfId="0" applyFont="1" applyAlignment="1" applyProtection="1">
      <alignment horizontal="center" vertical="center"/>
    </xf>
    <xf numFmtId="0" fontId="14" fillId="0" borderId="0" xfId="0" applyFont="1" applyAlignment="1" applyProtection="1">
      <alignment horizontal="justify" vertical="center"/>
    </xf>
    <xf numFmtId="0" fontId="14" fillId="0" borderId="0" xfId="0" applyFont="1" applyAlignment="1" applyProtection="1">
      <alignment horizontal="left" vertical="center" wrapText="1"/>
    </xf>
    <xf numFmtId="0" fontId="25" fillId="0" borderId="0" xfId="0" applyFont="1" applyAlignment="1" applyProtection="1">
      <alignment horizontal="left" vertical="center" wrapText="1"/>
    </xf>
    <xf numFmtId="167" fontId="160" fillId="64" borderId="104" xfId="24" applyNumberFormat="1" applyFont="1" applyFill="1" applyBorder="1" applyAlignment="1" applyProtection="1">
      <alignment horizontal="center" vertical="center"/>
      <protection hidden="1"/>
    </xf>
    <xf numFmtId="167" fontId="160" fillId="64" borderId="2" xfId="24" applyNumberFormat="1" applyFont="1" applyFill="1" applyBorder="1" applyAlignment="1" applyProtection="1">
      <alignment horizontal="center" vertical="center"/>
      <protection hidden="1"/>
    </xf>
    <xf numFmtId="167" fontId="23" fillId="64" borderId="132" xfId="24" applyNumberFormat="1" applyFont="1" applyFill="1" applyBorder="1" applyAlignment="1" applyProtection="1">
      <alignment horizontal="center" vertical="center" wrapText="1"/>
      <protection hidden="1"/>
    </xf>
    <xf numFmtId="167" fontId="23" fillId="64" borderId="7" xfId="24" applyNumberFormat="1" applyFont="1" applyFill="1" applyBorder="1" applyAlignment="1" applyProtection="1">
      <alignment horizontal="center" vertical="center"/>
      <protection hidden="1"/>
    </xf>
    <xf numFmtId="167" fontId="23" fillId="64" borderId="7" xfId="24" applyNumberFormat="1" applyFont="1" applyFill="1" applyBorder="1" applyAlignment="1" applyProtection="1">
      <alignment horizontal="center" vertical="center" wrapText="1"/>
      <protection hidden="1"/>
    </xf>
    <xf numFmtId="167" fontId="23" fillId="64" borderId="8" xfId="24" applyNumberFormat="1" applyFont="1" applyFill="1" applyBorder="1" applyAlignment="1" applyProtection="1">
      <alignment horizontal="center" vertical="center"/>
      <protection hidden="1"/>
    </xf>
    <xf numFmtId="167" fontId="23" fillId="64" borderId="45" xfId="4" applyNumberFormat="1" applyFont="1" applyFill="1" applyBorder="1" applyAlignment="1" applyProtection="1">
      <alignment horizontal="center" vertical="center" wrapText="1"/>
      <protection hidden="1"/>
    </xf>
    <xf numFmtId="167" fontId="23" fillId="64" borderId="45" xfId="24" applyNumberFormat="1" applyFont="1" applyFill="1" applyBorder="1" applyAlignment="1" applyProtection="1">
      <alignment horizontal="center" vertical="center" wrapText="1"/>
      <protection hidden="1"/>
    </xf>
    <xf numFmtId="0" fontId="25" fillId="47" borderId="4" xfId="0" applyFont="1" applyFill="1" applyBorder="1" applyAlignment="1" applyProtection="1">
      <alignment vertical="center" wrapText="1"/>
      <protection hidden="1"/>
    </xf>
    <xf numFmtId="0" fontId="14" fillId="47" borderId="4" xfId="0" applyFont="1" applyFill="1" applyBorder="1" applyAlignment="1" applyProtection="1">
      <alignment horizontal="center" vertical="center"/>
      <protection hidden="1"/>
    </xf>
    <xf numFmtId="10" fontId="25" fillId="47" borderId="4" xfId="0" applyNumberFormat="1" applyFont="1" applyFill="1" applyBorder="1" applyAlignment="1" applyProtection="1">
      <alignment horizontal="center" vertical="center"/>
      <protection hidden="1"/>
    </xf>
    <xf numFmtId="10" fontId="25" fillId="46" borderId="4" xfId="0" applyNumberFormat="1" applyFont="1" applyFill="1" applyBorder="1" applyAlignment="1" applyProtection="1">
      <alignment horizontal="center" vertical="center"/>
      <protection hidden="1"/>
    </xf>
    <xf numFmtId="0" fontId="14" fillId="46" borderId="4" xfId="0" applyFont="1" applyFill="1" applyBorder="1" applyAlignment="1" applyProtection="1">
      <alignment horizontal="center" vertical="center"/>
      <protection hidden="1"/>
    </xf>
    <xf numFmtId="0" fontId="19" fillId="0" borderId="0" xfId="0" applyFont="1" applyAlignment="1" applyProtection="1">
      <alignment horizontal="right" vertical="center" wrapText="1"/>
      <protection hidden="1"/>
    </xf>
    <xf numFmtId="10" fontId="19" fillId="0" borderId="4" xfId="0" applyNumberFormat="1" applyFont="1" applyBorder="1" applyAlignment="1" applyProtection="1">
      <alignment horizontal="center" vertical="center"/>
      <protection hidden="1"/>
    </xf>
    <xf numFmtId="0" fontId="19" fillId="0" borderId="14" xfId="0" applyFont="1" applyBorder="1" applyAlignment="1" applyProtection="1">
      <alignment horizontal="center" vertical="center"/>
      <protection hidden="1"/>
    </xf>
    <xf numFmtId="9" fontId="14" fillId="0" borderId="0" xfId="2" applyFont="1" applyAlignment="1" applyProtection="1">
      <alignment vertical="center"/>
      <protection hidden="1"/>
    </xf>
    <xf numFmtId="0" fontId="25" fillId="34" borderId="4" xfId="0" applyFont="1" applyFill="1" applyBorder="1" applyAlignment="1" applyProtection="1">
      <alignment horizontal="justify" vertical="center"/>
      <protection hidden="1"/>
    </xf>
    <xf numFmtId="2" fontId="25" fillId="0" borderId="4" xfId="0" applyNumberFormat="1" applyFont="1" applyBorder="1" applyAlignment="1" applyProtection="1">
      <alignment horizontal="center" vertical="center"/>
      <protection hidden="1"/>
    </xf>
    <xf numFmtId="49" fontId="25" fillId="34" borderId="4" xfId="0" applyNumberFormat="1" applyFont="1" applyFill="1" applyBorder="1" applyAlignment="1" applyProtection="1">
      <alignment horizontal="justify" vertical="center"/>
      <protection hidden="1"/>
    </xf>
    <xf numFmtId="0" fontId="25" fillId="14" borderId="4" xfId="0" applyFont="1" applyFill="1" applyBorder="1" applyAlignment="1" applyProtection="1">
      <alignment horizontal="center" vertical="center" wrapText="1"/>
      <protection hidden="1"/>
    </xf>
    <xf numFmtId="0" fontId="25" fillId="0" borderId="0" xfId="0" applyFont="1" applyAlignment="1" applyProtection="1">
      <alignment horizontal="justify" vertical="center"/>
      <protection hidden="1"/>
    </xf>
    <xf numFmtId="9" fontId="22" fillId="0" borderId="54" xfId="2" applyFont="1" applyBorder="1" applyAlignment="1" applyProtection="1">
      <alignment horizontal="center" vertical="center"/>
      <protection hidden="1"/>
    </xf>
    <xf numFmtId="0" fontId="14" fillId="0" borderId="0" xfId="0" applyFont="1" applyAlignment="1" applyProtection="1">
      <alignment horizontal="justify" vertical="center"/>
      <protection hidden="1"/>
    </xf>
    <xf numFmtId="0" fontId="163" fillId="64" borderId="9" xfId="16" applyFont="1" applyFill="1" applyBorder="1" applyAlignment="1" applyProtection="1">
      <alignment horizontal="center" vertical="center" wrapText="1"/>
      <protection hidden="1"/>
    </xf>
    <xf numFmtId="0" fontId="163" fillId="64" borderId="13" xfId="16" applyFont="1" applyFill="1" applyBorder="1" applyAlignment="1" applyProtection="1">
      <alignment horizontal="center" vertical="center" wrapText="1"/>
      <protection hidden="1"/>
    </xf>
    <xf numFmtId="0" fontId="163" fillId="64" borderId="21" xfId="16" applyFont="1" applyFill="1" applyBorder="1" applyAlignment="1" applyProtection="1">
      <alignment horizontal="center" vertical="center" wrapText="1"/>
      <protection hidden="1"/>
    </xf>
    <xf numFmtId="0" fontId="55" fillId="64" borderId="40" xfId="0" applyFont="1" applyFill="1" applyBorder="1" applyAlignment="1" applyProtection="1">
      <alignment horizontal="center" vertical="center" wrapText="1"/>
      <protection hidden="1"/>
    </xf>
    <xf numFmtId="0" fontId="37" fillId="0" borderId="19" xfId="0" applyFont="1" applyBorder="1" applyAlignment="1" applyProtection="1">
      <alignment horizontal="center" vertical="center" wrapText="1"/>
      <protection hidden="1"/>
    </xf>
    <xf numFmtId="0" fontId="40" fillId="0" borderId="19" xfId="0" applyFont="1" applyBorder="1" applyAlignment="1" applyProtection="1">
      <alignment horizontal="center" vertical="center" wrapText="1"/>
      <protection hidden="1"/>
    </xf>
    <xf numFmtId="0" fontId="117" fillId="0" borderId="19" xfId="0" applyFont="1" applyBorder="1" applyAlignment="1" applyProtection="1">
      <alignment horizontal="center" vertical="center" wrapText="1"/>
      <protection hidden="1"/>
    </xf>
    <xf numFmtId="0" fontId="14" fillId="20" borderId="4" xfId="0" applyFont="1" applyFill="1" applyBorder="1" applyAlignment="1" applyProtection="1">
      <alignment horizontal="center" vertical="center" wrapText="1"/>
      <protection locked="0"/>
    </xf>
    <xf numFmtId="14" fontId="28" fillId="20" borderId="161" xfId="0" applyNumberFormat="1" applyFont="1" applyFill="1" applyBorder="1" applyAlignment="1" applyProtection="1">
      <alignment horizontal="center" vertical="center" wrapText="1"/>
      <protection locked="0"/>
    </xf>
    <xf numFmtId="14" fontId="28" fillId="20" borderId="162" xfId="0" applyNumberFormat="1" applyFont="1" applyFill="1" applyBorder="1" applyAlignment="1" applyProtection="1">
      <alignment horizontal="center" vertical="center" wrapText="1"/>
      <protection locked="0"/>
    </xf>
    <xf numFmtId="0" fontId="1" fillId="12" borderId="9" xfId="0" applyFont="1" applyFill="1" applyBorder="1" applyAlignment="1" applyProtection="1">
      <alignment horizontal="center" vertical="center" wrapText="1"/>
      <protection locked="0"/>
    </xf>
    <xf numFmtId="0" fontId="1" fillId="12" borderId="4" xfId="0" applyFont="1" applyFill="1" applyBorder="1" applyAlignment="1" applyProtection="1">
      <alignment horizontal="center" vertical="center" wrapText="1"/>
      <protection locked="0"/>
    </xf>
    <xf numFmtId="0" fontId="11" fillId="13" borderId="0" xfId="16" applyFont="1" applyFill="1" applyBorder="1" applyAlignment="1" applyProtection="1">
      <alignment horizontal="center" vertical="center" wrapText="1"/>
      <protection hidden="1"/>
    </xf>
    <xf numFmtId="0" fontId="133" fillId="9" borderId="4" xfId="5" applyFont="1" applyFill="1" applyBorder="1" applyAlignment="1" applyProtection="1">
      <alignment vertical="center" wrapText="1"/>
      <protection locked="0"/>
    </xf>
    <xf numFmtId="0" fontId="53" fillId="9" borderId="4" xfId="5" applyFont="1" applyFill="1" applyBorder="1" applyAlignment="1" applyProtection="1">
      <alignment vertical="center" wrapText="1"/>
      <protection locked="0"/>
    </xf>
    <xf numFmtId="0" fontId="53" fillId="9" borderId="4" xfId="5" applyFont="1" applyFill="1" applyBorder="1" applyAlignment="1" applyProtection="1">
      <alignment horizontal="center" vertical="center" wrapText="1"/>
      <protection locked="0"/>
    </xf>
    <xf numFmtId="10" fontId="9" fillId="9" borderId="4" xfId="5" applyNumberFormat="1" applyFont="1" applyFill="1" applyBorder="1" applyAlignment="1" applyProtection="1">
      <alignment horizontal="center" vertical="center" wrapText="1"/>
      <protection locked="0"/>
    </xf>
    <xf numFmtId="0" fontId="53" fillId="70" borderId="4" xfId="5" applyFont="1" applyFill="1" applyBorder="1" applyAlignment="1" applyProtection="1">
      <alignment horizontal="center" vertical="center" wrapText="1"/>
      <protection locked="0"/>
    </xf>
    <xf numFmtId="9" fontId="53" fillId="70" borderId="4" xfId="5" applyNumberFormat="1" applyFont="1" applyFill="1" applyBorder="1" applyAlignment="1" applyProtection="1">
      <alignment horizontal="center" vertical="center" wrapText="1"/>
      <protection locked="0"/>
    </xf>
    <xf numFmtId="10" fontId="9" fillId="70" borderId="4" xfId="5" applyNumberFormat="1" applyFont="1" applyFill="1" applyBorder="1" applyAlignment="1" applyProtection="1">
      <alignment horizontal="center" vertical="center" wrapText="1"/>
      <protection locked="0"/>
    </xf>
    <xf numFmtId="0" fontId="129" fillId="9" borderId="4" xfId="5" applyFont="1" applyFill="1" applyBorder="1" applyAlignment="1" applyProtection="1">
      <alignment vertical="center" wrapText="1"/>
      <protection locked="0"/>
    </xf>
    <xf numFmtId="167" fontId="9" fillId="9" borderId="4" xfId="18" applyNumberFormat="1" applyFont="1" applyFill="1" applyBorder="1" applyAlignment="1" applyProtection="1">
      <alignment horizontal="center" vertical="center" wrapText="1"/>
      <protection locked="0"/>
    </xf>
    <xf numFmtId="0" fontId="53" fillId="9" borderId="4" xfId="5" applyFont="1" applyFill="1" applyBorder="1" applyAlignment="1" applyProtection="1">
      <alignment horizontal="left" vertical="center" wrapText="1"/>
      <protection locked="0"/>
    </xf>
    <xf numFmtId="0" fontId="14" fillId="13" borderId="33" xfId="0" applyFont="1" applyFill="1" applyBorder="1" applyProtection="1">
      <protection hidden="1"/>
    </xf>
    <xf numFmtId="0" fontId="14" fillId="13" borderId="33" xfId="0" applyFont="1" applyFill="1" applyBorder="1" applyAlignment="1" applyProtection="1">
      <alignment horizontal="left"/>
      <protection hidden="1"/>
    </xf>
    <xf numFmtId="0" fontId="14" fillId="13" borderId="13" xfId="0" applyFont="1" applyFill="1" applyBorder="1" applyProtection="1">
      <protection hidden="1"/>
    </xf>
    <xf numFmtId="14" fontId="14" fillId="13" borderId="13" xfId="0" applyNumberFormat="1" applyFont="1" applyFill="1" applyBorder="1" applyAlignment="1" applyProtection="1">
      <alignment horizontal="left"/>
      <protection hidden="1"/>
    </xf>
    <xf numFmtId="0" fontId="14" fillId="13" borderId="13" xfId="0" applyFont="1" applyFill="1" applyBorder="1" applyAlignment="1" applyProtection="1">
      <alignment horizontal="left"/>
      <protection hidden="1"/>
    </xf>
    <xf numFmtId="14" fontId="14" fillId="13" borderId="13" xfId="0" applyNumberFormat="1" applyFont="1" applyFill="1" applyBorder="1" applyProtection="1">
      <protection hidden="1"/>
    </xf>
    <xf numFmtId="0" fontId="37" fillId="9" borderId="54" xfId="0" applyFont="1" applyFill="1" applyBorder="1" applyAlignment="1" applyProtection="1">
      <alignment horizontal="center" vertical="center" wrapText="1"/>
      <protection hidden="1"/>
    </xf>
    <xf numFmtId="0" fontId="30" fillId="18" borderId="55" xfId="0" applyFont="1" applyFill="1" applyBorder="1" applyAlignment="1" applyProtection="1">
      <alignment horizontal="center" vertical="center" wrapText="1"/>
      <protection hidden="1"/>
    </xf>
    <xf numFmtId="0" fontId="30" fillId="18" borderId="56" xfId="0" applyFont="1" applyFill="1" applyBorder="1" applyAlignment="1" applyProtection="1">
      <alignment horizontal="center" vertical="center" wrapText="1"/>
      <protection hidden="1"/>
    </xf>
    <xf numFmtId="0" fontId="30" fillId="18" borderId="57" xfId="0" applyFont="1" applyFill="1" applyBorder="1" applyAlignment="1" applyProtection="1">
      <alignment horizontal="center" vertical="center" wrapText="1"/>
      <protection hidden="1"/>
    </xf>
    <xf numFmtId="0" fontId="30" fillId="18" borderId="58" xfId="0" applyFont="1" applyFill="1" applyBorder="1" applyAlignment="1" applyProtection="1">
      <alignment horizontal="center" vertical="center" wrapText="1"/>
      <protection hidden="1"/>
    </xf>
    <xf numFmtId="10" fontId="14" fillId="0" borderId="14" xfId="2" applyNumberFormat="1" applyFont="1" applyFill="1" applyBorder="1" applyProtection="1">
      <protection hidden="1"/>
    </xf>
    <xf numFmtId="10" fontId="14" fillId="0" borderId="24" xfId="2" applyNumberFormat="1" applyFont="1" applyFill="1" applyBorder="1" applyProtection="1">
      <protection hidden="1"/>
    </xf>
    <xf numFmtId="10" fontId="14" fillId="0" borderId="57" xfId="0" applyNumberFormat="1" applyFont="1" applyBorder="1" applyProtection="1">
      <protection hidden="1"/>
    </xf>
    <xf numFmtId="170" fontId="14" fillId="0" borderId="61" xfId="2" applyNumberFormat="1" applyFont="1" applyFill="1" applyBorder="1" applyProtection="1">
      <protection hidden="1"/>
    </xf>
    <xf numFmtId="170" fontId="14" fillId="0" borderId="85" xfId="2" applyNumberFormat="1" applyFont="1" applyFill="1" applyBorder="1" applyProtection="1">
      <protection hidden="1"/>
    </xf>
    <xf numFmtId="170" fontId="14" fillId="0" borderId="58" xfId="2" applyNumberFormat="1" applyFont="1" applyFill="1" applyBorder="1" applyProtection="1">
      <protection hidden="1"/>
    </xf>
    <xf numFmtId="170" fontId="14" fillId="0" borderId="60" xfId="2" applyNumberFormat="1" applyFont="1" applyFill="1" applyBorder="1" applyProtection="1">
      <protection hidden="1"/>
    </xf>
    <xf numFmtId="170" fontId="14" fillId="0" borderId="4" xfId="2" applyNumberFormat="1" applyFont="1" applyFill="1" applyBorder="1" applyProtection="1">
      <protection hidden="1"/>
    </xf>
    <xf numFmtId="170" fontId="14" fillId="0" borderId="20" xfId="2" applyNumberFormat="1" applyFont="1" applyFill="1" applyBorder="1" applyProtection="1">
      <protection hidden="1"/>
    </xf>
    <xf numFmtId="170" fontId="14" fillId="0" borderId="83" xfId="2" applyNumberFormat="1" applyFont="1" applyFill="1" applyBorder="1" applyProtection="1">
      <protection hidden="1"/>
    </xf>
    <xf numFmtId="170" fontId="14" fillId="0" borderId="64" xfId="2" applyNumberFormat="1" applyFont="1" applyFill="1" applyBorder="1" applyProtection="1">
      <protection hidden="1"/>
    </xf>
    <xf numFmtId="170" fontId="14" fillId="0" borderId="67" xfId="2" applyNumberFormat="1" applyFont="1" applyFill="1" applyBorder="1" applyProtection="1">
      <protection hidden="1"/>
    </xf>
    <xf numFmtId="0" fontId="25" fillId="0" borderId="55" xfId="0" applyFont="1" applyBorder="1" applyAlignment="1" applyProtection="1">
      <alignment horizontal="left"/>
      <protection hidden="1"/>
    </xf>
    <xf numFmtId="0" fontId="25" fillId="0" borderId="56" xfId="0" applyFont="1" applyBorder="1" applyAlignment="1" applyProtection="1">
      <alignment horizontal="left"/>
      <protection hidden="1"/>
    </xf>
    <xf numFmtId="0" fontId="14" fillId="0" borderId="69" xfId="0" applyFont="1" applyBorder="1" applyProtection="1">
      <protection hidden="1"/>
    </xf>
    <xf numFmtId="165" fontId="14" fillId="0" borderId="57" xfId="1" applyFont="1" applyBorder="1" applyProtection="1">
      <protection hidden="1"/>
    </xf>
    <xf numFmtId="9" fontId="14" fillId="0" borderId="57" xfId="2" applyFont="1" applyFill="1" applyBorder="1" applyProtection="1">
      <protection hidden="1"/>
    </xf>
    <xf numFmtId="0" fontId="25" fillId="0" borderId="53" xfId="0" applyFont="1" applyBorder="1" applyAlignment="1" applyProtection="1">
      <alignment horizontal="center"/>
      <protection hidden="1"/>
    </xf>
    <xf numFmtId="44" fontId="14" fillId="0" borderId="53" xfId="17" applyFont="1" applyBorder="1" applyProtection="1">
      <protection hidden="1"/>
    </xf>
    <xf numFmtId="0" fontId="25" fillId="0" borderId="81" xfId="0" applyFont="1" applyBorder="1" applyAlignment="1" applyProtection="1">
      <alignment horizontal="center" vertical="center"/>
      <protection hidden="1"/>
    </xf>
    <xf numFmtId="0" fontId="25" fillId="0" borderId="82" xfId="0" applyFont="1" applyBorder="1" applyAlignment="1" applyProtection="1">
      <alignment horizontal="center" vertical="center"/>
      <protection hidden="1"/>
    </xf>
    <xf numFmtId="44" fontId="14" fillId="0" borderId="115" xfId="17" applyFont="1" applyBorder="1" applyAlignment="1" applyProtection="1">
      <alignment vertical="center"/>
      <protection hidden="1"/>
    </xf>
    <xf numFmtId="44" fontId="14" fillId="0" borderId="67" xfId="17" applyFont="1" applyBorder="1" applyAlignment="1" applyProtection="1">
      <alignment vertical="center"/>
      <protection hidden="1"/>
    </xf>
    <xf numFmtId="0" fontId="30" fillId="36" borderId="59" xfId="0" applyFont="1" applyFill="1" applyBorder="1" applyAlignment="1" applyProtection="1">
      <alignment horizontal="center" vertical="center" wrapText="1"/>
      <protection hidden="1"/>
    </xf>
    <xf numFmtId="0" fontId="30" fillId="36" borderId="60" xfId="0" applyFont="1" applyFill="1" applyBorder="1" applyAlignment="1" applyProtection="1">
      <alignment horizontal="center" vertical="center" wrapText="1"/>
      <protection hidden="1"/>
    </xf>
    <xf numFmtId="0" fontId="30" fillId="36" borderId="60" xfId="0" applyFont="1" applyFill="1" applyBorder="1" applyAlignment="1" applyProtection="1">
      <alignment horizontal="center" vertical="center" wrapText="1"/>
      <protection hidden="1"/>
    </xf>
    <xf numFmtId="0" fontId="31" fillId="36" borderId="70" xfId="0" applyFont="1" applyFill="1" applyBorder="1" applyAlignment="1" applyProtection="1">
      <alignment horizontal="center" vertical="center" wrapText="1"/>
      <protection hidden="1"/>
    </xf>
    <xf numFmtId="0" fontId="32" fillId="0" borderId="62" xfId="0" applyFont="1" applyBorder="1" applyAlignment="1" applyProtection="1">
      <alignment horizontal="center" vertical="center" wrapText="1"/>
      <protection hidden="1"/>
    </xf>
    <xf numFmtId="0" fontId="32" fillId="0" borderId="4" xfId="0" applyFont="1" applyBorder="1" applyAlignment="1" applyProtection="1">
      <alignment horizontal="center" vertical="center" wrapText="1"/>
      <protection hidden="1"/>
    </xf>
    <xf numFmtId="165" fontId="33" fillId="0" borderId="4" xfId="0" applyNumberFormat="1" applyFont="1" applyBorder="1" applyAlignment="1" applyProtection="1">
      <alignment vertical="center" wrapText="1"/>
      <protection hidden="1"/>
    </xf>
    <xf numFmtId="165" fontId="33" fillId="0" borderId="63" xfId="0" applyNumberFormat="1" applyFont="1" applyBorder="1" applyAlignment="1" applyProtection="1">
      <alignment vertical="center" wrapText="1"/>
      <protection hidden="1"/>
    </xf>
    <xf numFmtId="9" fontId="33" fillId="0" borderId="63" xfId="2" applyFont="1" applyBorder="1" applyAlignment="1" applyProtection="1">
      <alignment horizontal="center" vertical="center" wrapText="1"/>
      <protection hidden="1"/>
    </xf>
    <xf numFmtId="44" fontId="33" fillId="0" borderId="4" xfId="0" applyNumberFormat="1" applyFont="1" applyBorder="1" applyAlignment="1" applyProtection="1">
      <alignment vertical="center" wrapText="1"/>
      <protection hidden="1"/>
    </xf>
    <xf numFmtId="44" fontId="33" fillId="0" borderId="63" xfId="0" applyNumberFormat="1" applyFont="1" applyBorder="1" applyAlignment="1" applyProtection="1">
      <alignment vertical="center" wrapText="1"/>
      <protection hidden="1"/>
    </xf>
    <xf numFmtId="8" fontId="33" fillId="0" borderId="4" xfId="0" applyNumberFormat="1" applyFont="1" applyBorder="1" applyAlignment="1" applyProtection="1">
      <alignment vertical="center" wrapText="1"/>
      <protection hidden="1"/>
    </xf>
    <xf numFmtId="170" fontId="33" fillId="0" borderId="63" xfId="2" applyNumberFormat="1" applyFont="1" applyBorder="1" applyAlignment="1" applyProtection="1">
      <alignment horizontal="center" vertical="center" wrapText="1"/>
      <protection hidden="1"/>
    </xf>
    <xf numFmtId="0" fontId="32" fillId="0" borderId="75" xfId="0" applyFont="1" applyBorder="1" applyAlignment="1" applyProtection="1">
      <alignment horizontal="center" vertical="center" wrapText="1"/>
      <protection hidden="1"/>
    </xf>
    <xf numFmtId="0" fontId="32" fillId="0" borderId="20" xfId="0" applyFont="1" applyBorder="1" applyAlignment="1" applyProtection="1">
      <alignment horizontal="center" vertical="center" wrapText="1"/>
      <protection hidden="1"/>
    </xf>
    <xf numFmtId="44" fontId="40" fillId="0" borderId="20" xfId="0" applyNumberFormat="1" applyFont="1" applyBorder="1" applyAlignment="1" applyProtection="1">
      <alignment vertical="center" wrapText="1"/>
      <protection hidden="1"/>
    </xf>
    <xf numFmtId="165" fontId="33" fillId="0" borderId="64" xfId="0" applyNumberFormat="1" applyFont="1" applyBorder="1" applyAlignment="1" applyProtection="1">
      <alignment vertical="center" wrapText="1"/>
      <protection hidden="1"/>
    </xf>
    <xf numFmtId="9" fontId="33" fillId="0" borderId="64" xfId="2" applyFont="1" applyBorder="1" applyAlignment="1" applyProtection="1">
      <alignment horizontal="center" vertical="center" wrapText="1"/>
      <protection hidden="1"/>
    </xf>
    <xf numFmtId="0" fontId="30" fillId="0" borderId="72" xfId="0" applyFont="1" applyBorder="1" applyAlignment="1" applyProtection="1">
      <alignment horizontal="center" vertical="center" wrapText="1"/>
      <protection hidden="1"/>
    </xf>
    <xf numFmtId="0" fontId="30" fillId="0" borderId="58" xfId="0" applyFont="1" applyBorder="1" applyAlignment="1" applyProtection="1">
      <alignment horizontal="center" vertical="center" wrapText="1"/>
      <protection hidden="1"/>
    </xf>
    <xf numFmtId="165" fontId="33" fillId="0" borderId="71" xfId="0" applyNumberFormat="1" applyFont="1" applyBorder="1" applyAlignment="1" applyProtection="1">
      <alignment vertical="center" wrapText="1"/>
      <protection hidden="1"/>
    </xf>
    <xf numFmtId="165" fontId="33" fillId="0" borderId="54" xfId="0" applyNumberFormat="1" applyFont="1" applyBorder="1" applyAlignment="1" applyProtection="1">
      <alignment vertical="center" wrapText="1"/>
      <protection hidden="1"/>
    </xf>
    <xf numFmtId="9" fontId="33" fillId="0" borderId="54" xfId="2" applyFont="1" applyBorder="1" applyAlignment="1" applyProtection="1">
      <alignment horizontal="center" vertical="center" wrapText="1"/>
      <protection hidden="1"/>
    </xf>
    <xf numFmtId="0" fontId="25" fillId="13" borderId="0" xfId="0" applyFont="1" applyFill="1" applyAlignment="1" applyProtection="1">
      <alignment horizontal="left"/>
      <protection locked="0"/>
    </xf>
    <xf numFmtId="0" fontId="25" fillId="13" borderId="10" xfId="0" applyFont="1" applyFill="1" applyBorder="1" applyAlignment="1" applyProtection="1">
      <alignment horizontal="left" vertical="top"/>
      <protection locked="0"/>
    </xf>
    <xf numFmtId="0" fontId="25" fillId="13" borderId="11" xfId="0" applyFont="1" applyFill="1" applyBorder="1" applyAlignment="1" applyProtection="1">
      <alignment horizontal="left" vertical="top"/>
      <protection locked="0"/>
    </xf>
    <xf numFmtId="0" fontId="25" fillId="13" borderId="11" xfId="0" applyFont="1" applyFill="1" applyBorder="1" applyProtection="1">
      <protection locked="0"/>
    </xf>
    <xf numFmtId="0" fontId="25" fillId="13" borderId="12" xfId="0" applyFont="1" applyFill="1" applyBorder="1" applyProtection="1">
      <protection locked="0"/>
    </xf>
    <xf numFmtId="0" fontId="14" fillId="13" borderId="0" xfId="0" applyFont="1" applyFill="1" applyAlignment="1" applyProtection="1">
      <alignment horizontal="left"/>
      <protection locked="0"/>
    </xf>
    <xf numFmtId="0" fontId="25" fillId="13" borderId="10" xfId="0" applyFont="1" applyFill="1" applyBorder="1" applyAlignment="1" applyProtection="1">
      <alignment vertical="top"/>
      <protection locked="0"/>
    </xf>
    <xf numFmtId="0" fontId="25" fillId="13" borderId="11" xfId="0" applyFont="1" applyFill="1" applyBorder="1" applyAlignment="1" applyProtection="1">
      <alignment vertical="top"/>
      <protection locked="0"/>
    </xf>
    <xf numFmtId="0" fontId="25" fillId="13" borderId="27" xfId="0" applyFont="1" applyFill="1" applyBorder="1" applyAlignment="1" applyProtection="1">
      <alignment horizontal="left" vertical="top"/>
      <protection locked="0"/>
    </xf>
    <xf numFmtId="0" fontId="25" fillId="13" borderId="87" xfId="0" applyFont="1" applyFill="1" applyBorder="1" applyAlignment="1" applyProtection="1">
      <alignment horizontal="left" vertical="top"/>
      <protection locked="0"/>
    </xf>
    <xf numFmtId="0" fontId="49" fillId="0" borderId="0" xfId="5" applyFont="1" applyAlignment="1" applyProtection="1">
      <alignment horizontal="center" vertical="center"/>
      <protection hidden="1"/>
    </xf>
    <xf numFmtId="0" fontId="10" fillId="0" borderId="0" xfId="5" applyFont="1" applyAlignment="1" applyProtection="1">
      <alignment horizontal="center" vertical="center"/>
      <protection hidden="1"/>
    </xf>
    <xf numFmtId="9" fontId="49" fillId="0" borderId="0" xfId="7" applyFont="1" applyAlignment="1" applyProtection="1">
      <alignment horizontal="center" vertical="center"/>
      <protection hidden="1"/>
    </xf>
    <xf numFmtId="167" fontId="49" fillId="0" borderId="0" xfId="4" applyNumberFormat="1" applyFont="1" applyAlignment="1" applyProtection="1">
      <alignment horizontal="center" vertical="center"/>
      <protection hidden="1"/>
    </xf>
    <xf numFmtId="167" fontId="49" fillId="0" borderId="0" xfId="4" applyNumberFormat="1" applyFont="1" applyFill="1" applyAlignment="1" applyProtection="1">
      <alignment vertical="center"/>
      <protection hidden="1"/>
    </xf>
    <xf numFmtId="167" fontId="49" fillId="0" borderId="0" xfId="4" applyNumberFormat="1" applyFont="1" applyAlignment="1" applyProtection="1">
      <alignment vertical="center"/>
      <protection hidden="1"/>
    </xf>
    <xf numFmtId="0" fontId="27" fillId="0" borderId="0" xfId="5" applyFont="1" applyAlignment="1" applyProtection="1">
      <alignment horizontal="center" vertical="center" wrapText="1"/>
      <protection hidden="1"/>
    </xf>
    <xf numFmtId="10" fontId="27" fillId="0" borderId="0" xfId="5" applyNumberFormat="1" applyFont="1" applyAlignment="1" applyProtection="1">
      <alignment vertical="center" wrapText="1"/>
      <protection hidden="1"/>
    </xf>
  </cellXfs>
  <cellStyles count="37">
    <cellStyle name="40% - Énfasis2" xfId="22" builtinId="35"/>
    <cellStyle name="40% - Énfasis4" xfId="23" builtinId="43"/>
    <cellStyle name="60% - Énfasis3 2" xfId="33"/>
    <cellStyle name="Buena" xfId="36" builtinId="26"/>
    <cellStyle name="Énfasis1" xfId="12" builtinId="29"/>
    <cellStyle name="Énfasis2" xfId="13" builtinId="33"/>
    <cellStyle name="Hipervínculo" xfId="16" builtinId="8"/>
    <cellStyle name="Incorrecto" xfId="20" builtinId="27"/>
    <cellStyle name="Incorrecto 2" xfId="8"/>
    <cellStyle name="Millares" xfId="18" builtinId="3"/>
    <cellStyle name="Millares [0]" xfId="19" builtinId="6"/>
    <cellStyle name="Millares 2 2" xfId="27"/>
    <cellStyle name="Millares 4" xfId="4"/>
    <cellStyle name="Millares 4 2" xfId="24"/>
    <cellStyle name="Millares 5" xfId="6"/>
    <cellStyle name="Moneda" xfId="1" builtinId="4"/>
    <cellStyle name="Moneda 2" xfId="14"/>
    <cellStyle name="Moneda 2 2" xfId="26"/>
    <cellStyle name="Moneda 3" xfId="15"/>
    <cellStyle name="Moneda 4" xfId="17"/>
    <cellStyle name="Neutral 2" xfId="32"/>
    <cellStyle name="Normal" xfId="0" builtinId="0"/>
    <cellStyle name="Normal 2" xfId="11"/>
    <cellStyle name="Normal 2 2 2" xfId="28"/>
    <cellStyle name="Normal 3 2" xfId="30"/>
    <cellStyle name="Normal 5" xfId="5"/>
    <cellStyle name="Normal 6 2" xfId="29"/>
    <cellStyle name="Normal 7" xfId="9"/>
    <cellStyle name="Normal_Hoja1" xfId="10"/>
    <cellStyle name="Notas" xfId="21" builtinId="10"/>
    <cellStyle name="Note" xfId="3"/>
    <cellStyle name="Note 2 2 10" xfId="25"/>
    <cellStyle name="Note 2 7 2 2" xfId="34"/>
    <cellStyle name="Note 3" xfId="35"/>
    <cellStyle name="Porcentaje" xfId="2" builtinId="5"/>
    <cellStyle name="Porcentaje 2" xfId="7"/>
    <cellStyle name="Porcentual 4" xfId="31"/>
  </cellStyles>
  <dxfs count="380">
    <dxf>
      <font>
        <color rgb="FF9C0006"/>
      </font>
      <fill>
        <patternFill>
          <bgColor rgb="FFFFC7CE"/>
        </patternFill>
      </fill>
    </dxf>
    <dxf>
      <font>
        <color rgb="FF9C0006"/>
      </font>
      <fill>
        <patternFill>
          <bgColor rgb="FFFFC7CE"/>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b val="0"/>
        <i val="0"/>
        <strike val="0"/>
        <condense val="0"/>
        <extend val="0"/>
        <outline val="0"/>
        <shadow val="0"/>
        <u val="none"/>
        <vertAlign val="baseline"/>
        <sz val="10"/>
        <color indexed="8"/>
        <name val="Arial"/>
        <scheme val="none"/>
      </font>
      <numFmt numFmtId="0" formatCode="General"/>
      <fill>
        <patternFill patternType="solid">
          <fgColor indexed="64"/>
          <bgColor theme="0"/>
        </patternFill>
      </fill>
      <alignment horizontal="general" vertical="center" textRotation="0" wrapText="1" indent="0" justifyLastLine="0" shrinkToFit="0" readingOrder="0"/>
      <border diagonalUp="0" diagonalDown="0">
        <left/>
        <right/>
        <top style="thin">
          <color indexed="64"/>
        </top>
        <bottom style="thin">
          <color indexed="64"/>
        </bottom>
      </border>
      <protection locked="1" hidden="0"/>
    </dxf>
    <dxf>
      <border outline="0">
        <left style="thin">
          <color indexed="64"/>
        </left>
        <right style="medium">
          <color indexed="64"/>
        </right>
        <top style="thin">
          <color indexed="64"/>
        </top>
        <bottom style="thin">
          <color indexed="64"/>
        </bottom>
      </border>
    </dxf>
    <dxf>
      <font>
        <b val="0"/>
        <i val="0"/>
        <strike val="0"/>
        <condense val="0"/>
        <extend val="0"/>
        <outline val="0"/>
        <shadow val="0"/>
        <u val="none"/>
        <vertAlign val="baseline"/>
        <sz val="10"/>
        <color indexed="8"/>
        <name val="Arial"/>
        <scheme val="none"/>
      </font>
      <numFmt numFmtId="0" formatCode="General"/>
      <fill>
        <patternFill patternType="solid">
          <fgColor indexed="64"/>
          <bgColor theme="0"/>
        </patternFill>
      </fill>
      <alignment horizontal="general" vertical="center" textRotation="0" wrapText="1" indent="0" justifyLastLine="0" shrinkToFit="0" readingOrder="0"/>
      <protection locked="1" hidden="0"/>
    </dxf>
    <dxf>
      <border outline="0">
        <bottom style="thin">
          <color indexed="64"/>
        </bottom>
      </border>
    </dxf>
    <dxf>
      <font>
        <b val="0"/>
        <i val="0"/>
        <strike val="0"/>
        <condense val="0"/>
        <extend val="0"/>
        <outline val="0"/>
        <shadow val="0"/>
        <u val="none"/>
        <vertAlign val="baseline"/>
        <sz val="10"/>
        <color indexed="8"/>
        <name val="Arial"/>
        <scheme val="none"/>
      </font>
      <numFmt numFmtId="0" formatCode="General"/>
      <fill>
        <patternFill patternType="solid">
          <fgColor indexed="64"/>
          <bgColor theme="0"/>
        </patternFill>
      </fill>
      <alignment horizontal="general" vertical="center" textRotation="0" wrapText="1" indent="0" justifyLastLine="0" shrinkToFit="0" readingOrder="0"/>
      <protection locked="1" hidden="0"/>
    </dxf>
    <dxf>
      <font>
        <b val="0"/>
        <i val="0"/>
        <strike val="0"/>
        <condense val="0"/>
        <extend val="0"/>
        <outline val="0"/>
        <shadow val="0"/>
        <u val="none"/>
        <vertAlign val="baseline"/>
        <sz val="11"/>
        <color auto="1"/>
        <name val="Arial"/>
        <scheme val="none"/>
      </font>
      <numFmt numFmtId="167" formatCode="_-* #,##0_-;\-* #,##0_-;_-* &quot;-&quot;??_-;_-@_-"/>
      <alignment horizontal="left" vertical="center" textRotation="0" wrapText="0" indent="0" justifyLastLine="0" shrinkToFit="0" readingOrder="0"/>
      <protection locked="1" hidden="0"/>
    </dxf>
    <dxf>
      <font>
        <b val="0"/>
        <i val="0"/>
        <strike val="0"/>
        <condense val="0"/>
        <extend val="0"/>
        <outline val="0"/>
        <shadow val="0"/>
        <u val="none"/>
        <vertAlign val="baseline"/>
        <sz val="11"/>
        <color rgb="FF000000"/>
        <name val="Arial"/>
        <scheme val="none"/>
      </font>
      <fill>
        <patternFill patternType="solid">
          <fgColor theme="4" tint="0.79998168889431442"/>
          <bgColor theme="4" tint="0.79998168889431442"/>
        </patternFill>
      </fill>
      <alignment horizontal="general" vertical="center" textRotation="0" wrapText="0" indent="0" justifyLastLine="0" shrinkToFit="0" readingOrder="0"/>
      <border diagonalUp="0" diagonalDown="0">
        <left/>
        <right/>
        <top style="thin">
          <color theme="4" tint="0.39997558519241921"/>
        </top>
        <bottom style="thin">
          <color theme="4" tint="0.39997558519241921"/>
        </bottom>
      </border>
      <protection locked="1" hidden="0"/>
    </dxf>
    <dxf>
      <font>
        <b val="0"/>
        <i val="0"/>
        <strike val="0"/>
        <condense val="0"/>
        <extend val="0"/>
        <outline val="0"/>
        <shadow val="0"/>
        <u val="none"/>
        <vertAlign val="baseline"/>
        <sz val="11"/>
        <color theme="1"/>
        <name val="Arial"/>
        <scheme val="none"/>
      </font>
      <fill>
        <patternFill patternType="solid">
          <fgColor theme="4" tint="0.79998168889431442"/>
          <bgColor theme="4" tint="0.79998168889431442"/>
        </patternFill>
      </fill>
      <alignment horizontal="general" vertical="center" textRotation="0" wrapText="1" indent="0" justifyLastLine="0" shrinkToFit="0" readingOrder="0"/>
      <border diagonalUp="0" diagonalDown="0">
        <left/>
        <right/>
        <top style="thin">
          <color theme="4" tint="0.39997558519241921"/>
        </top>
        <bottom style="thin">
          <color theme="4" tint="0.39997558519241921"/>
        </bottom>
      </border>
      <protection locked="1" hidden="0"/>
    </dxf>
    <dxf>
      <border outline="0">
        <top style="thin">
          <color theme="4" tint="0.39997558519241921"/>
        </top>
      </border>
    </dxf>
    <dxf>
      <border outline="0">
        <left style="thin">
          <color theme="4" tint="0.39997558519241921"/>
        </left>
        <top style="thin">
          <color theme="4" tint="0.39997558519241921"/>
        </top>
        <bottom style="thin">
          <color theme="4" tint="0.39997558519241921"/>
        </bottom>
      </border>
    </dxf>
    <dxf>
      <font>
        <strike val="0"/>
        <outline val="0"/>
        <shadow val="0"/>
        <u val="none"/>
        <vertAlign val="baseline"/>
        <name val="Arial"/>
        <scheme val="none"/>
      </font>
      <protection locked="1" hidden="0"/>
    </dxf>
    <dxf>
      <border outline="0">
        <bottom style="thin">
          <color theme="4" tint="0.39997558519241921"/>
        </bottom>
      </border>
    </dxf>
    <dxf>
      <font>
        <strike val="0"/>
        <outline val="0"/>
        <shadow val="0"/>
        <u val="none"/>
        <vertAlign val="baseline"/>
        <name val="Arial"/>
        <scheme val="none"/>
      </font>
      <protection locked="1" hidden="0"/>
    </dxf>
    <dxf>
      <font>
        <b val="0"/>
        <i val="0"/>
        <strike val="0"/>
        <condense val="0"/>
        <extend val="0"/>
        <outline val="0"/>
        <shadow val="0"/>
        <u val="none"/>
        <vertAlign val="baseline"/>
        <sz val="11"/>
        <color auto="1"/>
        <name val="Arial"/>
        <scheme val="none"/>
      </font>
      <numFmt numFmtId="167" formatCode="_-* #,##0_-;\-* #,##0_-;_-* &quot;-&quot;??_-;_-@_-"/>
      <alignment horizontal="center" vertical="center" textRotation="0" wrapText="0" indent="0" justifyLastLine="0" shrinkToFit="0" readingOrder="0"/>
      <border diagonalUp="0" diagonalDown="0">
        <left style="thin">
          <color indexed="64"/>
        </left>
        <right/>
        <top style="thin">
          <color indexed="64"/>
        </top>
        <bottom style="thin">
          <color indexed="64"/>
        </bottom>
      </border>
      <protection locked="1" hidden="0"/>
    </dxf>
    <dxf>
      <font>
        <b val="0"/>
        <i val="0"/>
        <strike val="0"/>
        <condense val="0"/>
        <extend val="0"/>
        <outline val="0"/>
        <shadow val="0"/>
        <u val="none"/>
        <vertAlign val="baseline"/>
        <sz val="11"/>
        <color auto="1"/>
        <name val="Arial"/>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strike val="0"/>
        <outline val="0"/>
        <shadow val="0"/>
        <u val="none"/>
        <vertAlign val="baseline"/>
        <name val="Arial"/>
        <scheme val="none"/>
      </font>
      <border diagonalUp="0" diagonalDown="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1"/>
        <color auto="1"/>
        <name val="Arial"/>
        <scheme val="none"/>
      </font>
      <alignment horizontal="center" vertical="center" textRotation="0" wrapText="0" indent="0" justifyLastLine="0" shrinkToFit="0" readingOrder="0"/>
      <border diagonalUp="0" diagonalDown="0">
        <left/>
        <right style="thin">
          <color indexed="64"/>
        </right>
        <top style="thin">
          <color indexed="64"/>
        </top>
        <bottom style="thin">
          <color indexed="64"/>
        </bottom>
      </border>
      <protection locked="1" hidden="0"/>
    </dxf>
    <dxf>
      <font>
        <strike val="0"/>
        <outline val="0"/>
        <shadow val="0"/>
        <u val="none"/>
        <vertAlign val="baseline"/>
        <name val="Arial"/>
        <scheme val="none"/>
      </font>
      <numFmt numFmtId="186" formatCode="_-* #.##0_-;\-* #.##0_-;_-* &quot;-&quot;??_-;_-@_-"/>
      <protection locked="1" hidden="0"/>
    </dxf>
    <dxf>
      <font>
        <b val="0"/>
        <i val="0"/>
        <strike val="0"/>
        <condense val="0"/>
        <extend val="0"/>
        <outline val="0"/>
        <shadow val="0"/>
        <u val="none"/>
        <vertAlign val="baseline"/>
        <sz val="11"/>
        <color auto="1"/>
        <name val="Arial"/>
        <scheme val="none"/>
      </font>
      <numFmt numFmtId="167" formatCode="_-* #,##0_-;\-* #,##0_-;_-* &quot;-&quot;??_-;_-@_-"/>
      <alignment horizontal="center" vertical="center" textRotation="0" wrapText="0" indent="0" justifyLastLine="0" shrinkToFit="0" readingOrder="0"/>
      <border diagonalUp="0" diagonalDown="0">
        <left style="thin">
          <color indexed="64"/>
        </left>
        <right style="thin">
          <color indexed="64"/>
        </right>
        <top/>
        <bottom/>
      </border>
      <protection locked="1" hidden="0"/>
    </dxf>
    <dxf>
      <font>
        <b val="0"/>
        <i val="0"/>
        <strike val="0"/>
        <condense val="0"/>
        <extend val="0"/>
        <outline val="0"/>
        <shadow val="0"/>
        <u val="none"/>
        <vertAlign val="baseline"/>
        <sz val="12"/>
        <color auto="1"/>
        <name val="Arial"/>
        <scheme val="none"/>
      </font>
      <alignment horizontal="general" vertical="center" textRotation="0" wrapText="0" indent="0" justifyLastLine="0" shrinkToFit="0" readingOrder="0"/>
      <protection locked="1" hidden="0"/>
    </dxf>
    <dxf>
      <font>
        <b val="0"/>
        <i val="0"/>
        <strike val="0"/>
        <condense val="0"/>
        <extend val="0"/>
        <outline val="0"/>
        <shadow val="0"/>
        <u val="none"/>
        <vertAlign val="baseline"/>
        <sz val="12"/>
        <color auto="1"/>
        <name val="Arial"/>
        <scheme val="none"/>
      </font>
      <alignment horizontal="general" vertical="center" textRotation="0" wrapText="0" indent="0" justifyLastLine="0" shrinkToFit="0" readingOrder="0"/>
      <protection locked="1" hidden="0"/>
    </dxf>
    <dxf>
      <font>
        <b val="0"/>
        <i val="0"/>
        <strike val="0"/>
        <condense val="0"/>
        <extend val="0"/>
        <outline val="0"/>
        <shadow val="0"/>
        <u val="none"/>
        <vertAlign val="baseline"/>
        <sz val="12"/>
        <color auto="1"/>
        <name val="Arial"/>
        <scheme val="none"/>
      </font>
      <alignment horizontal="general" vertical="center" textRotation="0" wrapText="0" indent="0" justifyLastLine="0" shrinkToFit="0" readingOrder="0"/>
      <protection locked="1" hidden="0"/>
    </dxf>
    <dxf>
      <font>
        <b val="0"/>
        <i val="0"/>
        <strike val="0"/>
        <condense val="0"/>
        <extend val="0"/>
        <outline val="0"/>
        <shadow val="0"/>
        <u val="none"/>
        <vertAlign val="baseline"/>
        <sz val="10"/>
        <color rgb="FFFF0000"/>
        <name val="Arial"/>
        <scheme val="none"/>
      </font>
      <numFmt numFmtId="13" formatCode="0%"/>
      <fill>
        <patternFill patternType="solid">
          <fgColor indexed="64"/>
          <bgColor rgb="FFFFFF00"/>
        </patternFill>
      </fill>
      <alignment horizontal="center" vertical="center" textRotation="0" wrapText="1" indent="0" justifyLastLine="0" shrinkToFit="0" readingOrder="0"/>
      <border diagonalUp="0" diagonalDown="0">
        <left/>
        <right style="medium">
          <color indexed="64"/>
        </right>
        <top/>
        <bottom style="medium">
          <color indexed="64"/>
        </bottom>
      </border>
      <protection locked="1" hidden="0"/>
    </dxf>
    <dxf>
      <font>
        <b val="0"/>
        <i val="0"/>
        <strike val="0"/>
        <condense val="0"/>
        <extend val="0"/>
        <outline val="0"/>
        <shadow val="0"/>
        <u val="none"/>
        <vertAlign val="baseline"/>
        <sz val="10"/>
        <color rgb="FFFF0000"/>
        <name val="Arial"/>
        <scheme val="none"/>
      </font>
      <numFmt numFmtId="13" formatCode="0%"/>
      <alignment horizontal="center" vertical="center" textRotation="0" wrapText="1" indent="0" justifyLastLine="0" shrinkToFit="0" readingOrder="0"/>
      <border diagonalUp="0" diagonalDown="0">
        <left/>
        <right style="medium">
          <color indexed="64"/>
        </right>
        <top/>
        <bottom style="medium">
          <color indexed="64"/>
        </bottom>
      </border>
      <protection locked="1" hidden="0"/>
    </dxf>
    <dxf>
      <font>
        <b val="0"/>
        <i val="0"/>
        <strike val="0"/>
        <condense val="0"/>
        <extend val="0"/>
        <outline val="0"/>
        <shadow val="0"/>
        <u val="none"/>
        <vertAlign val="baseline"/>
        <sz val="10"/>
        <color rgb="FFFF0000"/>
        <name val="Arial"/>
        <scheme val="none"/>
      </font>
      <numFmt numFmtId="13" formatCode="0%"/>
      <fill>
        <patternFill patternType="solid">
          <fgColor indexed="64"/>
          <bgColor rgb="FFFFFF00"/>
        </patternFill>
      </fill>
      <alignment horizontal="center" vertical="center" textRotation="0" wrapText="1" indent="0" justifyLastLine="0" shrinkToFit="0" readingOrder="0"/>
      <border diagonalUp="0" diagonalDown="0">
        <left/>
        <right style="medium">
          <color indexed="64"/>
        </right>
        <top/>
        <bottom style="medium">
          <color indexed="64"/>
        </bottom>
      </border>
      <protection locked="1" hidden="0"/>
    </dxf>
    <dxf>
      <font>
        <b val="0"/>
        <i val="0"/>
        <strike val="0"/>
        <condense val="0"/>
        <extend val="0"/>
        <outline val="0"/>
        <shadow val="0"/>
        <u val="none"/>
        <vertAlign val="baseline"/>
        <sz val="10"/>
        <color rgb="FF000000"/>
        <name val="Arial"/>
        <scheme val="none"/>
      </font>
      <alignment horizontal="justify" vertical="center" textRotation="0" wrapText="1" indent="0" justifyLastLine="0" shrinkToFit="0" readingOrder="0"/>
      <border diagonalUp="0" diagonalDown="0">
        <left/>
        <right/>
        <top/>
        <bottom style="medium">
          <color indexed="64"/>
        </bottom>
      </border>
      <protection locked="1" hidden="0"/>
    </dxf>
    <dxf>
      <border outline="0">
        <left style="medium">
          <color indexed="64"/>
        </left>
        <right style="medium">
          <color indexed="64"/>
        </right>
        <bottom style="medium">
          <color indexed="64"/>
        </bottom>
      </border>
    </dxf>
    <dxf>
      <font>
        <strike val="0"/>
        <outline val="0"/>
        <shadow val="0"/>
        <u val="none"/>
        <vertAlign val="baseline"/>
        <sz val="10"/>
        <name val="Arial"/>
        <scheme val="none"/>
      </font>
      <protection locked="1" hidden="0"/>
    </dxf>
    <dxf>
      <border outline="0">
        <bottom style="medium">
          <color indexed="64"/>
        </bottom>
      </border>
    </dxf>
    <dxf>
      <font>
        <b/>
        <i val="0"/>
        <strike val="0"/>
        <condense val="0"/>
        <extend val="0"/>
        <outline val="0"/>
        <shadow val="0"/>
        <u val="none"/>
        <vertAlign val="baseline"/>
        <sz val="10"/>
        <color rgb="FF000000"/>
        <name val="Arial"/>
        <scheme val="none"/>
      </font>
      <alignment horizontal="center" vertical="center" textRotation="0" wrapText="1" indent="0" justifyLastLine="0" shrinkToFit="0" readingOrder="0"/>
      <protection locked="1" hidden="0"/>
    </dxf>
    <dxf>
      <font>
        <color rgb="FFFF0000"/>
      </font>
    </dxf>
    <dxf>
      <font>
        <color rgb="FFFF0000"/>
      </font>
    </dxf>
    <dxf>
      <font>
        <color rgb="FFFF0000"/>
      </font>
    </dxf>
    <dxf>
      <fill>
        <patternFill>
          <bgColor rgb="FF00FF00"/>
        </patternFill>
      </fill>
    </dxf>
    <dxf>
      <fill>
        <patternFill>
          <bgColor rgb="FFFF0000"/>
        </patternFill>
      </fill>
    </dxf>
    <dxf>
      <fill>
        <patternFill>
          <bgColor rgb="FFFFFF00"/>
        </patternFill>
      </fill>
    </dxf>
    <dxf>
      <fill>
        <patternFill>
          <bgColor rgb="FF00FF00"/>
        </patternFill>
      </fill>
    </dxf>
    <dxf>
      <fill>
        <patternFill>
          <bgColor rgb="FFFF0000"/>
        </patternFill>
      </fill>
    </dxf>
    <dxf>
      <fill>
        <patternFill>
          <bgColor rgb="FFFF0000"/>
        </patternFill>
      </fill>
    </dxf>
    <dxf>
      <fill>
        <patternFill>
          <bgColor rgb="FF00FF00"/>
        </patternFill>
      </fill>
    </dxf>
    <dxf>
      <fill>
        <patternFill>
          <bgColor rgb="FF00FF00"/>
        </patternFill>
      </fill>
    </dxf>
    <dxf>
      <fill>
        <patternFill>
          <bgColor rgb="FFFF0000"/>
        </patternFill>
      </fill>
    </dxf>
    <dxf>
      <fill>
        <patternFill>
          <bgColor rgb="FFCEE193"/>
        </patternFill>
      </fill>
    </dxf>
    <dxf>
      <fill>
        <patternFill>
          <bgColor rgb="FFFABA86"/>
        </patternFill>
      </fill>
    </dxf>
    <dxf>
      <font>
        <strike val="0"/>
        <outline val="0"/>
        <shadow val="0"/>
        <vertAlign val="baseline"/>
        <name val="Arial"/>
        <scheme val="none"/>
      </font>
      <numFmt numFmtId="13" formatCode="0%"/>
      <alignment horizontal="center" vertical="bottom" textRotation="0" wrapText="0" indent="0" justifyLastLine="0" shrinkToFit="0" readingOrder="0"/>
      <protection locked="1" hidden="1"/>
    </dxf>
    <dxf>
      <font>
        <strike val="0"/>
        <outline val="0"/>
        <shadow val="0"/>
        <vertAlign val="baseline"/>
        <name val="Arial"/>
        <scheme val="none"/>
      </font>
      <numFmt numFmtId="13" formatCode="0%"/>
      <alignment horizontal="center" vertical="bottom" textRotation="0" wrapText="0" indent="0" justifyLastLine="0" shrinkToFit="0" readingOrder="0"/>
      <protection locked="1" hidden="1"/>
    </dxf>
    <dxf>
      <font>
        <strike val="0"/>
        <outline val="0"/>
        <shadow val="0"/>
        <vertAlign val="baseline"/>
        <color auto="1"/>
        <name val="Arial"/>
        <scheme val="none"/>
      </font>
      <numFmt numFmtId="13" formatCode="0%"/>
      <alignment horizontal="center" vertical="bottom" textRotation="0" wrapText="0" indent="0" justifyLastLine="0" shrinkToFit="0" readingOrder="0"/>
      <protection locked="1" hidden="1"/>
    </dxf>
    <dxf>
      <font>
        <strike val="0"/>
        <outline val="0"/>
        <shadow val="0"/>
        <u val="none"/>
        <vertAlign val="baseline"/>
        <sz val="11"/>
        <color auto="1"/>
        <name val="Arial"/>
        <scheme val="none"/>
      </font>
      <numFmt numFmtId="14" formatCode="0.00%"/>
      <alignment horizontal="center" vertical="bottom" textRotation="0" wrapText="0" indent="0" justifyLastLine="0" shrinkToFit="0" readingOrder="0"/>
      <protection locked="1" hidden="1"/>
    </dxf>
    <dxf>
      <font>
        <strike val="0"/>
        <outline val="0"/>
        <shadow val="0"/>
        <vertAlign val="baseline"/>
        <name val="Arial"/>
        <scheme val="none"/>
      </font>
      <numFmt numFmtId="13" formatCode="0%"/>
      <alignment horizontal="center" vertical="bottom" textRotation="0" wrapText="0" indent="0" justifyLastLine="0" shrinkToFit="0" readingOrder="0"/>
      <protection locked="1" hidden="1"/>
    </dxf>
    <dxf>
      <font>
        <strike val="0"/>
        <outline val="0"/>
        <shadow val="0"/>
        <vertAlign val="baseline"/>
        <name val="Arial"/>
        <scheme val="none"/>
      </font>
      <protection locked="1" hidden="1"/>
    </dxf>
    <dxf>
      <font>
        <strike val="0"/>
        <outline val="0"/>
        <shadow val="0"/>
        <vertAlign val="baseline"/>
        <name val="Arial"/>
        <scheme val="none"/>
      </font>
      <protection locked="1" hidden="1"/>
    </dxf>
    <dxf>
      <font>
        <strike val="0"/>
        <outline val="0"/>
        <shadow val="0"/>
        <vertAlign val="baseline"/>
        <name val="Arial"/>
        <scheme val="none"/>
      </font>
    </dxf>
    <dxf>
      <font>
        <strike val="0"/>
        <outline val="0"/>
        <shadow val="0"/>
        <vertAlign val="baseline"/>
        <name val="Arial"/>
        <scheme val="none"/>
      </font>
      <protection locked="1" hidden="1"/>
    </dxf>
    <dxf>
      <font>
        <strike val="0"/>
        <outline val="0"/>
        <shadow val="0"/>
        <vertAlign val="baseline"/>
        <name val="Arial"/>
        <scheme val="none"/>
      </font>
      <protection locked="1" hidden="1"/>
    </dxf>
    <dxf>
      <font>
        <strike val="0"/>
        <outline val="0"/>
        <shadow val="0"/>
        <vertAlign val="baseline"/>
        <name val="Arial"/>
        <scheme val="none"/>
      </font>
    </dxf>
    <dxf>
      <font>
        <strike val="0"/>
        <outline val="0"/>
        <shadow val="0"/>
        <vertAlign val="baseline"/>
        <name val="Arial"/>
        <scheme val="none"/>
      </font>
    </dxf>
    <dxf>
      <font>
        <strike val="0"/>
        <outline val="0"/>
        <shadow val="0"/>
        <vertAlign val="baseline"/>
        <name val="Arial"/>
        <scheme val="none"/>
      </font>
      <protection locked="1" hidden="1"/>
    </dxf>
    <dxf>
      <font>
        <strike val="0"/>
        <outline val="0"/>
        <shadow val="0"/>
        <vertAlign val="baseline"/>
        <name val="Arial"/>
        <scheme val="none"/>
      </font>
      <protection locked="1" hidden="1"/>
    </dxf>
    <dxf>
      <font>
        <strike val="0"/>
        <outline val="0"/>
        <shadow val="0"/>
        <vertAlign val="baseline"/>
        <name val="Arial"/>
        <scheme val="none"/>
      </font>
    </dxf>
    <dxf>
      <font>
        <strike val="0"/>
        <outline val="0"/>
        <shadow val="0"/>
        <vertAlign val="baseline"/>
        <name val="Arial"/>
        <scheme val="none"/>
      </font>
    </dxf>
    <dxf>
      <font>
        <strike val="0"/>
        <outline val="0"/>
        <shadow val="0"/>
        <vertAlign val="baseline"/>
        <name val="Arial"/>
        <scheme val="none"/>
      </font>
    </dxf>
    <dxf>
      <font>
        <strike val="0"/>
        <outline val="0"/>
        <shadow val="0"/>
        <vertAlign val="baseline"/>
        <name val="Arial"/>
        <scheme val="none"/>
      </font>
      <protection locked="1" hidden="1"/>
    </dxf>
    <dxf>
      <font>
        <strike val="0"/>
        <outline val="0"/>
        <shadow val="0"/>
        <vertAlign val="baseline"/>
        <name val="Arial"/>
        <scheme val="none"/>
      </font>
      <protection locked="1" hidden="1"/>
    </dxf>
    <dxf>
      <font>
        <strike val="0"/>
        <outline val="0"/>
        <shadow val="0"/>
        <vertAlign val="baseline"/>
        <name val="Arial"/>
        <scheme val="none"/>
      </font>
      <protection locked="1" hidden="1"/>
    </dxf>
    <dxf>
      <font>
        <strike val="0"/>
        <outline val="0"/>
        <shadow val="0"/>
        <vertAlign val="baseline"/>
        <name val="Arial"/>
        <scheme val="none"/>
      </font>
    </dxf>
    <dxf>
      <font>
        <strike val="0"/>
        <outline val="0"/>
        <shadow val="0"/>
        <vertAlign val="baseline"/>
        <name val="Arial"/>
        <scheme val="none"/>
      </font>
      <protection locked="1" hidden="1"/>
    </dxf>
    <dxf>
      <font>
        <strike val="0"/>
        <outline val="0"/>
        <shadow val="0"/>
        <vertAlign val="baseline"/>
        <name val="Arial"/>
        <scheme val="none"/>
      </font>
      <protection locked="1" hidden="1"/>
    </dxf>
    <dxf>
      <font>
        <strike val="0"/>
        <outline val="0"/>
        <shadow val="0"/>
        <vertAlign val="baseline"/>
        <name val="Arial"/>
        <scheme val="none"/>
      </font>
      <protection locked="1" hidden="1"/>
    </dxf>
    <dxf>
      <font>
        <strike val="0"/>
        <outline val="0"/>
        <shadow val="0"/>
        <vertAlign val="baseline"/>
        <name val="Arial"/>
        <scheme val="none"/>
      </font>
    </dxf>
    <dxf>
      <font>
        <b/>
        <i val="0"/>
        <color theme="0"/>
      </font>
      <fill>
        <patternFill>
          <bgColor rgb="FFFF0000"/>
        </patternFill>
      </fill>
    </dxf>
    <dxf>
      <font>
        <b/>
        <i val="0"/>
      </font>
      <fill>
        <patternFill>
          <bgColor rgb="FFFFFF00"/>
        </patternFill>
      </fill>
    </dxf>
    <dxf>
      <font>
        <b/>
        <i val="0"/>
      </font>
      <fill>
        <patternFill>
          <bgColor rgb="FF92D050"/>
        </patternFill>
      </fill>
    </dxf>
    <dxf>
      <font>
        <b val="0"/>
        <i val="0"/>
        <strike val="0"/>
        <color theme="0"/>
      </font>
      <fill>
        <patternFill>
          <bgColor theme="1"/>
        </patternFill>
      </fill>
    </dxf>
    <dxf>
      <font>
        <b val="0"/>
        <i val="0"/>
        <strike val="0"/>
        <color theme="0"/>
      </font>
      <fill>
        <patternFill>
          <bgColor theme="1"/>
        </patternFill>
      </fill>
    </dxf>
    <dxf>
      <font>
        <strike val="0"/>
        <color theme="1"/>
      </font>
      <fill>
        <patternFill>
          <bgColor rgb="FF92D050"/>
        </patternFill>
      </fill>
    </dxf>
    <dxf>
      <font>
        <strike val="0"/>
        <color theme="1"/>
      </font>
      <fill>
        <patternFill>
          <bgColor rgb="FFFFFF00"/>
        </patternFill>
      </fill>
    </dxf>
    <dxf>
      <font>
        <strike val="0"/>
        <color theme="1"/>
      </font>
      <fill>
        <patternFill>
          <bgColor rgb="FFFF0000"/>
        </patternFill>
      </fill>
    </dxf>
    <dxf>
      <font>
        <b/>
        <i val="0"/>
        <color theme="0" tint="-4.9989318521683403E-2"/>
        <name val="Calibri Light"/>
        <scheme val="none"/>
      </font>
      <fill>
        <patternFill>
          <bgColor rgb="FFC00000"/>
        </patternFill>
      </fill>
    </dxf>
    <dxf>
      <numFmt numFmtId="30" formatCode="@"/>
      <fill>
        <patternFill>
          <bgColor rgb="FF00FF00"/>
        </patternFill>
      </fill>
    </dxf>
    <dxf>
      <numFmt numFmtId="30" formatCode="@"/>
      <fill>
        <patternFill>
          <bgColor rgb="FFFF0000"/>
        </patternFill>
      </fill>
    </dxf>
    <dxf>
      <numFmt numFmtId="30" formatCode="@"/>
      <fill>
        <patternFill>
          <bgColor rgb="FF00FF00"/>
        </patternFill>
      </fill>
    </dxf>
    <dxf>
      <numFmt numFmtId="30" formatCode="@"/>
      <fill>
        <patternFill>
          <bgColor rgb="FFFF0000"/>
        </patternFill>
      </fill>
    </dxf>
    <dxf>
      <fill>
        <patternFill>
          <bgColor rgb="FFFF0000"/>
        </patternFill>
      </fill>
    </dxf>
    <dxf>
      <fill>
        <patternFill>
          <bgColor rgb="FF05ED1B"/>
        </patternFill>
      </fill>
    </dxf>
    <dxf>
      <fill>
        <patternFill>
          <bgColor rgb="FFFF0000"/>
        </patternFill>
      </fill>
    </dxf>
    <dxf>
      <fill>
        <patternFill>
          <bgColor indexed="11"/>
        </patternFill>
      </fill>
    </dxf>
    <dxf>
      <font>
        <b val="0"/>
        <i val="0"/>
        <strike val="0"/>
        <color theme="0"/>
      </font>
      <fill>
        <patternFill>
          <bgColor theme="1"/>
        </patternFill>
      </fill>
    </dxf>
    <dxf>
      <fill>
        <patternFill>
          <bgColor theme="9"/>
        </patternFill>
      </fill>
    </dxf>
    <dxf>
      <fill>
        <patternFill>
          <bgColor rgb="FFC00000"/>
        </patternFill>
      </fill>
    </dxf>
    <dxf>
      <fill>
        <patternFill>
          <bgColor theme="9"/>
        </patternFill>
      </fill>
    </dxf>
    <dxf>
      <fill>
        <patternFill>
          <bgColor rgb="FFC00000"/>
        </patternFill>
      </fill>
    </dxf>
    <dxf>
      <fill>
        <patternFill>
          <bgColor rgb="FFFFFF00"/>
        </patternFill>
      </fill>
    </dxf>
    <dxf>
      <fill>
        <patternFill>
          <bgColor rgb="FFC00000"/>
        </patternFill>
      </fill>
    </dxf>
    <dxf>
      <fill>
        <patternFill>
          <bgColor theme="9"/>
        </patternFill>
      </fill>
    </dxf>
    <dxf>
      <fill>
        <patternFill>
          <bgColor rgb="FFC00000"/>
        </patternFill>
      </fill>
    </dxf>
    <dxf>
      <fill>
        <patternFill>
          <bgColor rgb="FFC00000"/>
        </patternFill>
      </fill>
    </dxf>
    <dxf>
      <fill>
        <patternFill>
          <bgColor theme="9"/>
        </patternFill>
      </fill>
    </dxf>
    <dxf>
      <fill>
        <patternFill>
          <bgColor theme="9"/>
        </patternFill>
      </fill>
    </dxf>
    <dxf>
      <fill>
        <patternFill>
          <bgColor rgb="FFC00000"/>
        </patternFill>
      </fill>
    </dxf>
    <dxf>
      <fill>
        <patternFill>
          <bgColor rgb="FFC00000"/>
        </patternFill>
      </fill>
    </dxf>
    <dxf>
      <fill>
        <patternFill>
          <bgColor theme="9"/>
        </patternFill>
      </fill>
    </dxf>
    <dxf>
      <fill>
        <patternFill>
          <bgColor rgb="FF92D050"/>
        </patternFill>
      </fill>
    </dxf>
    <dxf>
      <fill>
        <patternFill>
          <bgColor rgb="FFFFFF00"/>
        </patternFill>
      </fill>
    </dxf>
    <dxf>
      <font>
        <color rgb="FF9C0006"/>
      </font>
      <fill>
        <patternFill>
          <bgColor rgb="FFFFC7CE"/>
        </patternFill>
      </fill>
    </dxf>
    <dxf>
      <fill>
        <patternFill>
          <fgColor rgb="FF92D050"/>
          <bgColor rgb="FF92D050"/>
        </patternFill>
      </fill>
    </dxf>
    <dxf>
      <font>
        <b val="0"/>
        <i val="0"/>
        <strike val="0"/>
        <color theme="0"/>
      </font>
      <fill>
        <patternFill>
          <bgColor theme="1"/>
        </patternFill>
      </fill>
    </dxf>
    <dxf>
      <font>
        <strike val="0"/>
        <outline val="0"/>
        <shadow val="0"/>
        <u val="none"/>
        <vertAlign val="baseline"/>
        <sz val="11"/>
        <color theme="1"/>
        <name val="Arial"/>
        <scheme val="none"/>
      </font>
      <fill>
        <patternFill patternType="solid">
          <fgColor indexed="64"/>
          <bgColor theme="5" tint="0.39997558519241921"/>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Arial"/>
        <scheme val="none"/>
      </font>
      <fill>
        <patternFill patternType="solid">
          <fgColor indexed="64"/>
          <bgColor theme="5" tint="0.39997558519241921"/>
        </patternFill>
      </fill>
      <alignment horizontal="center" vertical="center" textRotation="0" wrapText="1" indent="0" justifyLastLine="0" shrinkToFit="0" readingOrder="0"/>
    </dxf>
    <dxf>
      <font>
        <strike val="0"/>
        <outline val="0"/>
        <shadow val="0"/>
        <u val="none"/>
        <vertAlign val="baseline"/>
        <sz val="11"/>
        <color theme="1"/>
        <name val="Arial"/>
        <scheme val="none"/>
      </font>
      <fill>
        <patternFill patternType="solid">
          <fgColor indexed="64"/>
          <bgColor theme="5" tint="0.39997558519241921"/>
        </patternFill>
      </fill>
      <alignment horizontal="center" vertical="center" textRotation="0" wrapText="1" indent="0" justifyLastLine="0" shrinkToFit="0" readingOrder="0"/>
    </dxf>
    <dxf>
      <font>
        <strike val="0"/>
        <outline val="0"/>
        <shadow val="0"/>
        <u val="none"/>
        <vertAlign val="baseline"/>
        <sz val="11"/>
        <color theme="1"/>
        <name val="Arial"/>
        <scheme val="none"/>
      </font>
      <fill>
        <patternFill patternType="solid">
          <fgColor indexed="64"/>
          <bgColor rgb="FFC00000"/>
        </patternFill>
      </fill>
      <alignment horizontal="center" vertical="center" textRotation="0" wrapText="0" indent="0" justifyLastLine="0" shrinkToFit="0" readingOrder="0"/>
    </dxf>
    <dxf>
      <font>
        <b val="0"/>
        <i val="0"/>
        <strike val="0"/>
        <color theme="0"/>
      </font>
      <fill>
        <patternFill>
          <bgColor theme="1"/>
        </patternFill>
      </fill>
    </dxf>
    <dxf>
      <font>
        <b val="0"/>
        <i val="0"/>
        <strike val="0"/>
        <color theme="0"/>
      </font>
      <fill>
        <patternFill>
          <bgColor theme="1"/>
        </patternFill>
      </fill>
    </dxf>
    <dxf>
      <font>
        <strike val="0"/>
        <color theme="1"/>
      </font>
      <fill>
        <patternFill>
          <bgColor rgb="FF92D050"/>
        </patternFill>
      </fill>
    </dxf>
    <dxf>
      <font>
        <strike val="0"/>
        <color theme="1"/>
      </font>
      <fill>
        <patternFill>
          <bgColor rgb="FFFFFF00"/>
        </patternFill>
      </fill>
    </dxf>
    <dxf>
      <font>
        <strike val="0"/>
        <color theme="1"/>
      </font>
      <fill>
        <patternFill>
          <bgColor rgb="FFFF0000"/>
        </patternFill>
      </fill>
    </dxf>
    <dxf>
      <font>
        <b/>
        <i val="0"/>
        <color theme="0" tint="-4.9989318521683403E-2"/>
        <name val="Calibri Light"/>
        <scheme val="none"/>
      </font>
      <fill>
        <patternFill>
          <bgColor rgb="FFC00000"/>
        </patternFill>
      </fill>
    </dxf>
    <dxf>
      <fill>
        <patternFill>
          <bgColor rgb="FF92D050"/>
        </patternFill>
      </fill>
    </dxf>
    <dxf>
      <fill>
        <patternFill>
          <bgColor rgb="FFFFFF00"/>
        </patternFill>
      </fill>
    </dxf>
    <dxf>
      <font>
        <color theme="0"/>
      </font>
      <fill>
        <patternFill>
          <bgColor rgb="FFFF0000"/>
        </patternFill>
      </fill>
    </dxf>
    <dxf>
      <font>
        <color theme="0"/>
      </font>
      <fill>
        <patternFill>
          <bgColor rgb="FF002060"/>
        </patternFill>
      </fill>
    </dxf>
    <dxf>
      <fill>
        <patternFill>
          <bgColor rgb="FF92D050"/>
        </patternFill>
      </fill>
    </dxf>
    <dxf>
      <fill>
        <patternFill>
          <bgColor rgb="FFFFFF00"/>
        </patternFill>
      </fill>
    </dxf>
    <dxf>
      <font>
        <color theme="0"/>
      </font>
      <fill>
        <patternFill>
          <bgColor rgb="FFFF0000"/>
        </patternFill>
      </fill>
    </dxf>
    <dxf>
      <font>
        <color theme="0"/>
      </font>
      <fill>
        <patternFill>
          <bgColor rgb="FF002060"/>
        </patternFill>
      </fill>
    </dxf>
    <dxf>
      <fill>
        <patternFill>
          <bgColor rgb="FF92D050"/>
        </patternFill>
      </fill>
    </dxf>
    <dxf>
      <fill>
        <patternFill>
          <bgColor rgb="FFFFFF00"/>
        </patternFill>
      </fill>
    </dxf>
    <dxf>
      <font>
        <color theme="0"/>
      </font>
      <fill>
        <patternFill>
          <bgColor rgb="FFFF0000"/>
        </patternFill>
      </fill>
    </dxf>
    <dxf>
      <font>
        <color theme="0"/>
      </font>
      <fill>
        <patternFill>
          <bgColor rgb="FF002060"/>
        </patternFill>
      </fill>
    </dxf>
    <dxf>
      <font>
        <b val="0"/>
        <i val="0"/>
        <strike val="0"/>
        <color theme="0"/>
      </font>
      <fill>
        <patternFill>
          <bgColor theme="1"/>
        </patternFill>
      </fill>
    </dxf>
    <dxf>
      <fill>
        <patternFill patternType="none">
          <bgColor auto="1"/>
        </patternFill>
      </fill>
    </dxf>
    <dxf>
      <fill>
        <patternFill patternType="none">
          <bgColor auto="1"/>
        </patternFill>
      </fill>
    </dxf>
    <dxf>
      <font>
        <color auto="1"/>
      </font>
      <fill>
        <patternFill>
          <bgColor rgb="FF92D050"/>
        </patternFill>
      </fill>
    </dxf>
    <dxf>
      <font>
        <color auto="1"/>
      </font>
      <fill>
        <patternFill>
          <bgColor rgb="FFFFFF00"/>
        </patternFill>
      </fill>
    </dxf>
    <dxf>
      <font>
        <b/>
        <i val="0"/>
        <color theme="0"/>
      </font>
      <fill>
        <patternFill>
          <bgColor rgb="FFFF0000"/>
        </patternFill>
      </fill>
    </dxf>
    <dxf>
      <font>
        <color auto="1"/>
      </font>
      <fill>
        <patternFill>
          <bgColor rgb="FF92D050"/>
        </patternFill>
      </fill>
    </dxf>
    <dxf>
      <font>
        <color auto="1"/>
      </font>
      <fill>
        <patternFill>
          <bgColor rgb="FFFFFF00"/>
        </patternFill>
      </fill>
    </dxf>
    <dxf>
      <font>
        <b/>
        <i val="0"/>
        <color theme="0"/>
      </font>
      <fill>
        <patternFill>
          <bgColor rgb="FFFF0000"/>
        </patternFill>
      </fill>
    </dxf>
    <dxf>
      <font>
        <color rgb="FF006100"/>
      </font>
      <fill>
        <patternFill>
          <bgColor rgb="FFC6EFCE"/>
        </patternFill>
      </fill>
    </dxf>
    <dxf>
      <fill>
        <patternFill>
          <bgColor rgb="FFFFC7CE"/>
        </patternFill>
      </fill>
    </dxf>
    <dxf>
      <font>
        <color rgb="FF9C5700"/>
      </font>
      <fill>
        <patternFill>
          <bgColor rgb="FFFFEB9C"/>
        </patternFill>
      </fill>
    </dxf>
    <dxf>
      <font>
        <color rgb="FF9C0006"/>
      </font>
      <fill>
        <patternFill>
          <bgColor rgb="FFFFC7CE"/>
        </patternFill>
      </fill>
    </dxf>
    <dxf>
      <fill>
        <patternFill>
          <bgColor rgb="FFFFFF00"/>
        </patternFill>
      </fill>
    </dxf>
    <dxf>
      <font>
        <color auto="1"/>
      </font>
    </dxf>
    <dxf>
      <font>
        <color auto="1"/>
      </font>
    </dxf>
    <dxf>
      <font>
        <color auto="1"/>
      </font>
      <fill>
        <patternFill>
          <bgColor rgb="FF92D050"/>
        </patternFill>
      </fill>
    </dxf>
    <dxf>
      <font>
        <color auto="1"/>
      </font>
    </dxf>
    <dxf>
      <font>
        <color theme="0"/>
      </font>
      <fill>
        <patternFill>
          <bgColor rgb="FFFF0000"/>
        </patternFill>
      </fill>
    </dxf>
    <dxf>
      <font>
        <color theme="1"/>
      </font>
      <fill>
        <patternFill>
          <bgColor rgb="FF92D050"/>
        </patternFill>
      </fill>
    </dxf>
    <dxf>
      <font>
        <color theme="1"/>
      </font>
      <fill>
        <patternFill>
          <bgColor rgb="FFFF0000"/>
        </patternFill>
      </fill>
    </dxf>
    <dxf>
      <font>
        <color theme="0"/>
      </font>
    </dxf>
    <dxf>
      <font>
        <color auto="1"/>
      </font>
      <fill>
        <patternFill>
          <bgColor rgb="FF92D050"/>
        </patternFill>
      </fill>
    </dxf>
    <dxf>
      <font>
        <color auto="1"/>
      </font>
      <fill>
        <patternFill>
          <bgColor rgb="FF92D050"/>
        </patternFill>
      </fill>
    </dxf>
    <dxf>
      <font>
        <color auto="1"/>
      </font>
      <fill>
        <patternFill>
          <bgColor rgb="FFFFFF00"/>
        </patternFill>
      </fill>
    </dxf>
    <dxf>
      <font>
        <b val="0"/>
        <i/>
        <color theme="0"/>
      </font>
      <fill>
        <patternFill>
          <bgColor rgb="FFFF0000"/>
        </patternFill>
      </fill>
    </dxf>
    <dxf>
      <font>
        <b/>
        <i val="0"/>
      </font>
    </dxf>
    <dxf>
      <font>
        <b/>
        <i val="0"/>
        <color auto="1"/>
      </font>
      <fill>
        <patternFill>
          <bgColor rgb="FF92D050"/>
        </patternFill>
      </fill>
    </dxf>
    <dxf>
      <font>
        <b/>
        <i val="0"/>
      </font>
    </dxf>
    <dxf>
      <font>
        <color auto="1"/>
      </font>
      <fill>
        <patternFill>
          <bgColor rgb="FF92D050"/>
        </patternFill>
      </fill>
    </dxf>
    <dxf>
      <font>
        <color theme="1"/>
      </font>
      <fill>
        <patternFill>
          <bgColor rgb="FFFFFF00"/>
        </patternFill>
      </fill>
    </dxf>
    <dxf>
      <font>
        <color auto="1"/>
      </font>
      <fill>
        <patternFill>
          <bgColor rgb="FF92D050"/>
        </patternFill>
      </fill>
    </dxf>
    <dxf>
      <font>
        <color auto="1"/>
      </font>
      <fill>
        <patternFill>
          <bgColor rgb="FFFFFF00"/>
        </patternFill>
      </fill>
    </dxf>
    <dxf>
      <font>
        <b/>
        <i val="0"/>
        <color auto="1"/>
      </font>
      <fill>
        <patternFill>
          <bgColor rgb="FFFF0000"/>
        </patternFill>
      </fill>
    </dxf>
    <dxf>
      <font>
        <b/>
        <i val="0"/>
        <color theme="0"/>
      </font>
      <fill>
        <patternFill>
          <bgColor rgb="FFFF0000"/>
        </patternFill>
      </fill>
    </dxf>
    <dxf>
      <font>
        <color auto="1"/>
      </font>
      <fill>
        <patternFill>
          <bgColor rgb="FF92D050"/>
        </patternFill>
      </fill>
    </dxf>
    <dxf>
      <font>
        <color auto="1"/>
      </font>
      <fill>
        <patternFill>
          <bgColor rgb="FF92D050"/>
        </patternFill>
      </fill>
    </dxf>
    <dxf>
      <font>
        <color auto="1"/>
      </font>
      <fill>
        <patternFill>
          <bgColor rgb="FFFFFF00"/>
        </patternFill>
      </fill>
    </dxf>
    <dxf>
      <font>
        <b val="0"/>
        <i/>
        <color theme="0"/>
      </font>
      <fill>
        <patternFill>
          <bgColor rgb="FFFF0000"/>
        </patternFill>
      </fill>
    </dxf>
    <dxf>
      <font>
        <b/>
        <i val="0"/>
      </font>
    </dxf>
    <dxf>
      <font>
        <b/>
        <i val="0"/>
        <color auto="1"/>
      </font>
      <fill>
        <patternFill>
          <bgColor rgb="FF92D050"/>
        </patternFill>
      </fill>
    </dxf>
    <dxf>
      <font>
        <b/>
        <i val="0"/>
      </font>
    </dxf>
    <dxf>
      <font>
        <color auto="1"/>
      </font>
      <fill>
        <patternFill>
          <bgColor rgb="FF92D050"/>
        </patternFill>
      </fill>
    </dxf>
    <dxf>
      <font>
        <color theme="1"/>
      </font>
      <fill>
        <patternFill>
          <bgColor rgb="FFFFFF00"/>
        </patternFill>
      </fill>
    </dxf>
    <dxf>
      <font>
        <color rgb="FF006100"/>
      </font>
      <fill>
        <patternFill>
          <bgColor rgb="FFC6EFCE"/>
        </patternFill>
      </fill>
    </dxf>
    <dxf>
      <fill>
        <patternFill>
          <bgColor rgb="FFFFC7CE"/>
        </patternFill>
      </fill>
    </dxf>
    <dxf>
      <font>
        <color rgb="FF9C5700"/>
      </font>
      <fill>
        <patternFill>
          <bgColor rgb="FFFFEB9C"/>
        </patternFill>
      </fill>
    </dxf>
    <dxf>
      <font>
        <color rgb="FF9C0006"/>
      </font>
      <fill>
        <patternFill>
          <bgColor rgb="FFFFC7CE"/>
        </patternFill>
      </fill>
    </dxf>
    <dxf>
      <fill>
        <patternFill>
          <bgColor rgb="FFFFFF00"/>
        </patternFill>
      </fill>
    </dxf>
    <dxf>
      <font>
        <color auto="1"/>
      </font>
    </dxf>
    <dxf>
      <font>
        <color auto="1"/>
      </font>
    </dxf>
    <dxf>
      <font>
        <color auto="1"/>
      </font>
      <fill>
        <patternFill>
          <bgColor rgb="FF92D050"/>
        </patternFill>
      </fill>
    </dxf>
    <dxf>
      <font>
        <color auto="1"/>
      </font>
    </dxf>
    <dxf>
      <font>
        <color theme="0"/>
      </font>
      <fill>
        <patternFill>
          <bgColor rgb="FFFF0000"/>
        </patternFill>
      </fill>
    </dxf>
    <dxf>
      <font>
        <b val="0"/>
        <i val="0"/>
        <strike val="0"/>
        <color theme="0"/>
      </font>
      <fill>
        <patternFill>
          <bgColor theme="1"/>
        </patternFill>
      </fill>
    </dxf>
    <dxf>
      <font>
        <strike val="0"/>
        <color theme="1"/>
      </font>
      <fill>
        <patternFill>
          <bgColor rgb="FF92D050"/>
        </patternFill>
      </fill>
    </dxf>
    <dxf>
      <font>
        <strike val="0"/>
        <color theme="1"/>
      </font>
      <fill>
        <patternFill>
          <bgColor rgb="FFFFFF00"/>
        </patternFill>
      </fill>
    </dxf>
    <dxf>
      <font>
        <strike val="0"/>
        <color theme="1"/>
      </font>
      <fill>
        <patternFill>
          <bgColor rgb="FFFF0000"/>
        </patternFill>
      </fill>
    </dxf>
    <dxf>
      <font>
        <b/>
        <i val="0"/>
        <color theme="0" tint="-4.9989318521683403E-2"/>
        <name val="Calibri Light"/>
        <scheme val="none"/>
      </font>
      <fill>
        <patternFill>
          <bgColor rgb="FFC00000"/>
        </patternFill>
      </fill>
    </dxf>
    <dxf>
      <font>
        <b val="0"/>
        <i val="0"/>
        <strike val="0"/>
        <color theme="0"/>
      </font>
      <fill>
        <patternFill>
          <bgColor theme="1"/>
        </patternFill>
      </fill>
    </dxf>
    <dxf>
      <font>
        <strike val="0"/>
        <color theme="1"/>
      </font>
      <fill>
        <patternFill>
          <bgColor rgb="FF92D050"/>
        </patternFill>
      </fill>
    </dxf>
    <dxf>
      <font>
        <strike val="0"/>
        <color theme="1"/>
      </font>
      <fill>
        <patternFill>
          <bgColor rgb="FFFFFF00"/>
        </patternFill>
      </fill>
    </dxf>
    <dxf>
      <font>
        <strike val="0"/>
        <color theme="1"/>
      </font>
      <fill>
        <patternFill>
          <bgColor rgb="FFFF0000"/>
        </patternFill>
      </fill>
    </dxf>
    <dxf>
      <font>
        <strike val="0"/>
        <color theme="1"/>
      </font>
      <fill>
        <patternFill>
          <bgColor rgb="FF92D050"/>
        </patternFill>
      </fill>
    </dxf>
    <dxf>
      <font>
        <strike val="0"/>
        <color theme="1"/>
      </font>
      <fill>
        <patternFill>
          <bgColor rgb="FFFFFF00"/>
        </patternFill>
      </fill>
    </dxf>
    <dxf>
      <font>
        <strike val="0"/>
        <color auto="1"/>
      </font>
      <fill>
        <patternFill>
          <bgColor rgb="FFFF0000"/>
        </patternFill>
      </fill>
    </dxf>
    <dxf>
      <font>
        <b/>
        <i val="0"/>
        <color theme="2" tint="-9.9948118533890809E-2"/>
      </font>
      <fill>
        <patternFill>
          <bgColor rgb="FFD20000"/>
        </patternFill>
      </fill>
    </dxf>
    <dxf>
      <font>
        <b/>
        <i val="0"/>
        <color theme="0" tint="-4.9989318521683403E-2"/>
        <name val="Calibri Light"/>
        <scheme val="none"/>
      </font>
      <fill>
        <patternFill>
          <bgColor rgb="FFC00000"/>
        </patternFill>
      </fill>
    </dxf>
    <dxf>
      <fill>
        <patternFill>
          <bgColor rgb="FF00FF00"/>
        </patternFill>
      </fill>
    </dxf>
    <dxf>
      <fill>
        <patternFill>
          <bgColor rgb="FFFFFF00"/>
        </patternFill>
      </fill>
    </dxf>
    <dxf>
      <fill>
        <patternFill>
          <bgColor rgb="FF00FF00"/>
        </patternFill>
      </fill>
    </dxf>
    <dxf>
      <fill>
        <patternFill>
          <bgColor rgb="FFFFFF00"/>
        </patternFill>
      </fill>
    </dxf>
    <dxf>
      <font>
        <strike val="0"/>
        <color theme="1"/>
      </font>
      <fill>
        <patternFill>
          <bgColor rgb="FF92D050"/>
        </patternFill>
      </fill>
    </dxf>
    <dxf>
      <font>
        <strike val="0"/>
        <color theme="1"/>
      </font>
      <fill>
        <patternFill>
          <bgColor rgb="FFFFFF00"/>
        </patternFill>
      </fill>
    </dxf>
    <dxf>
      <font>
        <strike val="0"/>
        <color theme="1"/>
      </font>
      <fill>
        <patternFill>
          <bgColor rgb="FFFF0000"/>
        </patternFill>
      </fill>
    </dxf>
    <dxf>
      <font>
        <b/>
        <i val="0"/>
        <color theme="0" tint="-4.9989318521683403E-2"/>
        <name val="Calibri Light"/>
        <scheme val="none"/>
      </font>
      <fill>
        <patternFill>
          <bgColor rgb="FFC00000"/>
        </patternFill>
      </fill>
    </dxf>
    <dxf>
      <font>
        <b val="0"/>
        <i val="0"/>
        <strike val="0"/>
        <color theme="0"/>
      </font>
      <fill>
        <patternFill>
          <bgColor theme="1"/>
        </patternFill>
      </fill>
    </dxf>
    <dxf>
      <font>
        <b val="0"/>
        <i val="0"/>
        <strike val="0"/>
        <color theme="0"/>
      </font>
      <fill>
        <patternFill>
          <bgColor theme="1"/>
        </patternFill>
      </fill>
    </dxf>
    <dxf>
      <font>
        <strike val="0"/>
        <color theme="1"/>
      </font>
      <fill>
        <patternFill>
          <bgColor rgb="FF92D050"/>
        </patternFill>
      </fill>
    </dxf>
    <dxf>
      <font>
        <strike val="0"/>
        <color theme="1"/>
      </font>
      <fill>
        <patternFill>
          <bgColor rgb="FFFFFF00"/>
        </patternFill>
      </fill>
    </dxf>
    <dxf>
      <font>
        <strike val="0"/>
        <color theme="1"/>
      </font>
      <fill>
        <patternFill>
          <bgColor rgb="FFFF0000"/>
        </patternFill>
      </fill>
    </dxf>
    <dxf>
      <font>
        <b/>
        <i val="0"/>
        <color theme="0" tint="-4.9989318521683403E-2"/>
        <name val="Calibri Light"/>
        <scheme val="none"/>
      </font>
      <fill>
        <patternFill>
          <bgColor rgb="FFC00000"/>
        </patternFill>
      </fill>
    </dxf>
    <dxf>
      <font>
        <b val="0"/>
        <i val="0"/>
        <strike val="0"/>
        <color theme="0"/>
      </font>
      <fill>
        <patternFill>
          <bgColor theme="1"/>
        </patternFill>
      </fill>
    </dxf>
    <dxf>
      <fill>
        <patternFill>
          <bgColor rgb="FFFF0000"/>
        </patternFill>
      </fill>
    </dxf>
    <dxf>
      <fill>
        <patternFill>
          <bgColor rgb="FF00B050"/>
        </patternFill>
      </fill>
    </dxf>
    <dxf>
      <fill>
        <patternFill>
          <bgColor rgb="FFFF0000"/>
        </patternFill>
      </fill>
    </dxf>
    <dxf>
      <fill>
        <patternFill>
          <bgColor rgb="FF66FF33"/>
        </patternFill>
      </fill>
    </dxf>
    <dxf>
      <font>
        <b val="0"/>
        <i val="0"/>
        <strike val="0"/>
        <color theme="0"/>
      </font>
      <fill>
        <patternFill>
          <bgColor theme="1"/>
        </patternFill>
      </fill>
    </dxf>
    <dxf>
      <font>
        <strike val="0"/>
        <color theme="1"/>
      </font>
      <fill>
        <patternFill>
          <bgColor rgb="FF92D050"/>
        </patternFill>
      </fill>
    </dxf>
    <dxf>
      <font>
        <strike val="0"/>
        <color theme="1"/>
      </font>
      <fill>
        <patternFill>
          <bgColor rgb="FFFFFF00"/>
        </patternFill>
      </fill>
    </dxf>
    <dxf>
      <font>
        <strike val="0"/>
        <color theme="1"/>
      </font>
      <fill>
        <patternFill>
          <bgColor rgb="FFFF0000"/>
        </patternFill>
      </fill>
    </dxf>
    <dxf>
      <font>
        <b/>
        <i val="0"/>
        <color theme="0" tint="-4.9989318521683403E-2"/>
        <name val="Calibri Light"/>
        <scheme val="none"/>
      </font>
      <fill>
        <patternFill>
          <bgColor rgb="FFC00000"/>
        </patternFill>
      </fill>
    </dxf>
    <dxf>
      <font>
        <b/>
        <i val="0"/>
        <color theme="0" tint="-4.9989318521683403E-2"/>
        <name val="Calibri Light"/>
        <scheme val="none"/>
      </font>
      <fill>
        <patternFill>
          <bgColor rgb="FFC00000"/>
        </patternFill>
      </fill>
    </dxf>
    <dxf>
      <font>
        <b val="0"/>
        <i val="0"/>
        <strike val="0"/>
        <color theme="0"/>
      </font>
      <fill>
        <patternFill>
          <bgColor theme="1"/>
        </patternFill>
      </fill>
    </dxf>
    <dxf>
      <font>
        <strike val="0"/>
        <color theme="1"/>
      </font>
      <fill>
        <patternFill>
          <bgColor rgb="FF92D050"/>
        </patternFill>
      </fill>
    </dxf>
    <dxf>
      <font>
        <strike val="0"/>
        <color theme="1"/>
      </font>
      <fill>
        <patternFill>
          <bgColor rgb="FFFFFF00"/>
        </patternFill>
      </fill>
    </dxf>
    <dxf>
      <font>
        <strike val="0"/>
        <color theme="1"/>
      </font>
      <fill>
        <patternFill>
          <bgColor rgb="FFFF0000"/>
        </patternFill>
      </fill>
    </dxf>
    <dxf>
      <font>
        <b val="0"/>
        <i val="0"/>
        <strike val="0"/>
        <color theme="0"/>
      </font>
      <fill>
        <patternFill>
          <bgColor theme="1"/>
        </patternFill>
      </fill>
    </dxf>
    <dxf>
      <font>
        <b val="0"/>
        <i val="0"/>
        <strike val="0"/>
        <color theme="0"/>
      </font>
      <fill>
        <patternFill>
          <bgColor theme="1"/>
        </patternFill>
      </fill>
    </dxf>
    <dxf>
      <font>
        <strike val="0"/>
        <color theme="1"/>
      </font>
      <fill>
        <patternFill>
          <bgColor rgb="FF92D050"/>
        </patternFill>
      </fill>
    </dxf>
    <dxf>
      <font>
        <strike val="0"/>
        <color theme="1"/>
      </font>
      <fill>
        <patternFill>
          <bgColor rgb="FFFFFF00"/>
        </patternFill>
      </fill>
    </dxf>
    <dxf>
      <font>
        <strike val="0"/>
        <color theme="1"/>
      </font>
      <fill>
        <patternFill>
          <bgColor rgb="FFFF0000"/>
        </patternFill>
      </fill>
    </dxf>
    <dxf>
      <font>
        <strike val="0"/>
        <color theme="1"/>
      </font>
      <fill>
        <patternFill>
          <bgColor rgb="FF92D050"/>
        </patternFill>
      </fill>
    </dxf>
    <dxf>
      <font>
        <strike val="0"/>
        <color theme="1"/>
      </font>
      <fill>
        <patternFill>
          <bgColor rgb="FFFFFF00"/>
        </patternFill>
      </fill>
    </dxf>
    <dxf>
      <font>
        <strike val="0"/>
        <color auto="1"/>
      </font>
      <fill>
        <patternFill>
          <bgColor rgb="FFFF0000"/>
        </patternFill>
      </fill>
    </dxf>
    <dxf>
      <font>
        <b/>
        <i val="0"/>
        <color theme="2" tint="-9.9948118533890809E-2"/>
      </font>
      <fill>
        <patternFill>
          <bgColor rgb="FFD20000"/>
        </patternFill>
      </fill>
    </dxf>
    <dxf>
      <font>
        <strike val="0"/>
        <color theme="1"/>
      </font>
      <fill>
        <patternFill>
          <bgColor rgb="FF92D050"/>
        </patternFill>
      </fill>
    </dxf>
    <dxf>
      <font>
        <strike val="0"/>
        <color theme="1"/>
      </font>
      <fill>
        <patternFill>
          <bgColor rgb="FFFFFF00"/>
        </patternFill>
      </fill>
    </dxf>
    <dxf>
      <font>
        <strike val="0"/>
        <color theme="1"/>
      </font>
      <fill>
        <patternFill>
          <bgColor rgb="FFFF0000"/>
        </patternFill>
      </fill>
    </dxf>
    <dxf>
      <font>
        <b/>
        <i val="0"/>
        <color theme="0" tint="-4.9989318521683403E-2"/>
        <name val="Calibri Light"/>
        <scheme val="none"/>
      </font>
      <fill>
        <patternFill>
          <bgColor rgb="FFC00000"/>
        </patternFill>
      </fill>
    </dxf>
    <dxf>
      <font>
        <b val="0"/>
        <i val="0"/>
        <strike val="0"/>
        <color theme="0"/>
      </font>
      <fill>
        <patternFill>
          <bgColor theme="1"/>
        </patternFill>
      </fill>
    </dxf>
    <dxf>
      <font>
        <strike val="0"/>
        <color theme="1"/>
      </font>
      <fill>
        <patternFill>
          <bgColor rgb="FF92D050"/>
        </patternFill>
      </fill>
    </dxf>
    <dxf>
      <font>
        <strike val="0"/>
        <color theme="1"/>
      </font>
      <fill>
        <patternFill>
          <bgColor rgb="FFFFFF00"/>
        </patternFill>
      </fill>
    </dxf>
    <dxf>
      <font>
        <strike val="0"/>
        <color theme="1"/>
      </font>
      <fill>
        <patternFill>
          <bgColor rgb="FFFF0000"/>
        </patternFill>
      </fill>
    </dxf>
    <dxf>
      <font>
        <b/>
        <i val="0"/>
        <color theme="0" tint="-4.9989318521683403E-2"/>
        <name val="Calibri Light"/>
        <scheme val="none"/>
      </font>
      <fill>
        <patternFill>
          <bgColor rgb="FFC00000"/>
        </patternFill>
      </fill>
    </dxf>
    <dxf>
      <font>
        <b/>
        <i val="0"/>
        <color theme="0" tint="-4.9989318521683403E-2"/>
        <name val="Calibri Light"/>
        <scheme val="none"/>
      </font>
      <fill>
        <patternFill>
          <bgColor rgb="FFC00000"/>
        </patternFill>
      </fill>
    </dxf>
    <dxf>
      <font>
        <b val="0"/>
        <i val="0"/>
        <strike val="0"/>
        <color theme="0"/>
      </font>
      <fill>
        <patternFill>
          <bgColor theme="1"/>
        </patternFill>
      </fill>
    </dxf>
    <dxf>
      <font>
        <strike val="0"/>
        <color theme="1"/>
      </font>
      <fill>
        <patternFill>
          <bgColor rgb="FF92D050"/>
        </patternFill>
      </fill>
    </dxf>
    <dxf>
      <font>
        <strike val="0"/>
        <color theme="1"/>
      </font>
      <fill>
        <patternFill>
          <bgColor rgb="FFFFFF00"/>
        </patternFill>
      </fill>
    </dxf>
    <dxf>
      <font>
        <strike val="0"/>
        <color theme="1"/>
      </font>
      <fill>
        <patternFill>
          <bgColor rgb="FFFF0000"/>
        </patternFill>
      </fill>
    </dxf>
    <dxf>
      <font>
        <b val="0"/>
        <i val="0"/>
        <strike val="0"/>
        <color theme="0"/>
      </font>
      <fill>
        <patternFill>
          <bgColor theme="1"/>
        </patternFill>
      </fill>
    </dxf>
    <dxf>
      <font>
        <b val="0"/>
        <i val="0"/>
        <strike val="0"/>
        <color theme="0"/>
      </font>
      <fill>
        <patternFill>
          <bgColor theme="1"/>
        </patternFill>
      </fill>
    </dxf>
    <dxf>
      <font>
        <strike val="0"/>
        <color theme="1"/>
      </font>
      <fill>
        <patternFill>
          <bgColor rgb="FF92D050"/>
        </patternFill>
      </fill>
    </dxf>
    <dxf>
      <font>
        <strike val="0"/>
        <color theme="1"/>
      </font>
      <fill>
        <patternFill>
          <bgColor rgb="FFFFFF00"/>
        </patternFill>
      </fill>
    </dxf>
    <dxf>
      <font>
        <strike val="0"/>
        <color theme="1"/>
      </font>
      <fill>
        <patternFill>
          <bgColor rgb="FFFF0000"/>
        </patternFill>
      </fill>
    </dxf>
    <dxf>
      <font>
        <strike val="0"/>
        <color theme="1"/>
      </font>
      <fill>
        <patternFill>
          <bgColor rgb="FF92D050"/>
        </patternFill>
      </fill>
    </dxf>
    <dxf>
      <font>
        <strike val="0"/>
        <color theme="1"/>
      </font>
      <fill>
        <patternFill>
          <bgColor rgb="FFFFFF00"/>
        </patternFill>
      </fill>
    </dxf>
    <dxf>
      <font>
        <strike val="0"/>
        <color auto="1"/>
      </font>
      <fill>
        <patternFill>
          <bgColor rgb="FFFF0000"/>
        </patternFill>
      </fill>
    </dxf>
    <dxf>
      <font>
        <b/>
        <i val="0"/>
        <color theme="2" tint="-9.9948118533890809E-2"/>
      </font>
      <fill>
        <patternFill>
          <bgColor rgb="FFD20000"/>
        </patternFill>
      </fill>
    </dxf>
    <dxf>
      <font>
        <strike val="0"/>
        <color theme="1"/>
      </font>
      <fill>
        <patternFill>
          <bgColor rgb="FF92D050"/>
        </patternFill>
      </fill>
    </dxf>
    <dxf>
      <font>
        <strike val="0"/>
        <color theme="1"/>
      </font>
      <fill>
        <patternFill>
          <bgColor rgb="FFFFFF00"/>
        </patternFill>
      </fill>
    </dxf>
    <dxf>
      <font>
        <strike val="0"/>
        <color theme="1"/>
      </font>
      <fill>
        <patternFill>
          <bgColor rgb="FFFF0000"/>
        </patternFill>
      </fill>
    </dxf>
    <dxf>
      <font>
        <b/>
        <i val="0"/>
        <color theme="0" tint="-4.9989318521683403E-2"/>
        <name val="Calibri Light"/>
        <scheme val="none"/>
      </font>
      <fill>
        <patternFill>
          <bgColor rgb="FFC00000"/>
        </patternFill>
      </fill>
    </dxf>
    <dxf>
      <font>
        <b val="0"/>
        <i val="0"/>
        <strike val="0"/>
        <color theme="0"/>
      </font>
      <fill>
        <patternFill>
          <bgColor theme="1"/>
        </patternFill>
      </fill>
    </dxf>
    <dxf>
      <font>
        <strike val="0"/>
        <color theme="1"/>
      </font>
      <fill>
        <patternFill>
          <bgColor rgb="FF92D050"/>
        </patternFill>
      </fill>
    </dxf>
    <dxf>
      <font>
        <strike val="0"/>
        <color theme="1"/>
      </font>
      <fill>
        <patternFill>
          <bgColor rgb="FFFFFF00"/>
        </patternFill>
      </fill>
    </dxf>
    <dxf>
      <font>
        <strike val="0"/>
        <color theme="1"/>
      </font>
      <fill>
        <patternFill>
          <bgColor rgb="FFFF0000"/>
        </patternFill>
      </fill>
    </dxf>
    <dxf>
      <font>
        <b/>
        <i val="0"/>
        <color theme="0" tint="-4.9989318521683403E-2"/>
        <name val="Calibri Light"/>
        <scheme val="none"/>
      </font>
      <fill>
        <patternFill>
          <bgColor rgb="FFC0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theme="6" tint="0.79998168889431442"/>
        </patternFill>
      </fill>
    </dxf>
    <dxf>
      <fill>
        <patternFill>
          <bgColor rgb="FFFF0000"/>
        </patternFill>
      </fill>
    </dxf>
    <dxf>
      <fill>
        <patternFill>
          <bgColor rgb="FFFFFF00"/>
        </patternFill>
      </fill>
    </dxf>
    <dxf>
      <fill>
        <patternFill>
          <bgColor theme="6" tint="-0.24994659260841701"/>
        </patternFill>
      </fill>
    </dxf>
    <dxf>
      <fill>
        <patternFill>
          <bgColor rgb="FF00B050"/>
        </patternFill>
      </fill>
    </dxf>
    <dxf>
      <fill>
        <patternFill>
          <bgColor rgb="FFFF0000"/>
        </patternFill>
      </fill>
    </dxf>
    <dxf>
      <fill>
        <patternFill>
          <bgColor rgb="FFFFFF00"/>
        </patternFill>
      </fill>
    </dxf>
    <dxf>
      <fill>
        <patternFill>
          <bgColor theme="6" tint="-0.24994659260841701"/>
        </patternFill>
      </fill>
    </dxf>
    <dxf>
      <fill>
        <patternFill>
          <bgColor rgb="FF00B050"/>
        </patternFill>
      </fill>
    </dxf>
    <dxf>
      <fill>
        <patternFill>
          <bgColor rgb="FFFF0000"/>
        </patternFill>
      </fill>
    </dxf>
    <dxf>
      <fill>
        <patternFill>
          <bgColor rgb="FFFFFF00"/>
        </patternFill>
      </fill>
    </dxf>
    <dxf>
      <fill>
        <patternFill>
          <bgColor theme="6" tint="-0.24994659260841701"/>
        </patternFill>
      </fill>
    </dxf>
    <dxf>
      <fill>
        <patternFill>
          <bgColor rgb="FF00B050"/>
        </patternFill>
      </fill>
    </dxf>
    <dxf>
      <fill>
        <patternFill>
          <bgColor theme="4" tint="0.59996337778862885"/>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theme="6" tint="0.79998168889431442"/>
        </patternFill>
      </fill>
    </dxf>
    <dxf>
      <font>
        <b/>
        <i val="0"/>
        <color theme="1"/>
      </font>
      <fill>
        <patternFill>
          <bgColor rgb="FFFFFF00"/>
        </patternFill>
      </fill>
    </dxf>
    <dxf>
      <font>
        <b/>
        <i val="0"/>
        <color theme="0"/>
      </font>
      <fill>
        <patternFill>
          <bgColor rgb="FFFF0000"/>
        </patternFill>
      </fill>
    </dxf>
    <dxf>
      <font>
        <color rgb="FF9C0006"/>
      </font>
      <fill>
        <patternFill>
          <bgColor rgb="FFFFC7CE"/>
        </patternFill>
      </fill>
    </dxf>
    <dxf>
      <font>
        <b/>
        <i val="0"/>
        <color theme="1"/>
      </font>
      <fill>
        <patternFill>
          <bgColor rgb="FF92D050"/>
        </patternFill>
      </fill>
    </dxf>
    <dxf>
      <font>
        <color rgb="FF9C0006"/>
      </font>
      <fill>
        <patternFill>
          <bgColor rgb="FFFFC7CE"/>
        </patternFill>
      </fill>
    </dxf>
    <dxf>
      <font>
        <b/>
        <i val="0"/>
        <color theme="0"/>
      </font>
      <fill>
        <patternFill>
          <bgColor rgb="FFFF0000"/>
        </patternFill>
      </fill>
    </dxf>
    <dxf>
      <fill>
        <patternFill>
          <bgColor rgb="FF00FF00"/>
        </patternFill>
      </fill>
    </dxf>
    <dxf>
      <fill>
        <patternFill>
          <bgColor rgb="FFFFFF00"/>
        </patternFill>
      </fill>
    </dxf>
    <dxf>
      <fill>
        <patternFill>
          <bgColor rgb="FF00FF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31F343"/>
        </patternFill>
      </fill>
    </dxf>
    <dxf>
      <fill>
        <patternFill>
          <bgColor rgb="FFFFFF00"/>
        </patternFill>
      </fill>
    </dxf>
    <dxf>
      <fill>
        <patternFill>
          <bgColor rgb="FF00FF0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00FF00"/>
        </patternFill>
      </fill>
    </dxf>
    <dxf>
      <fill>
        <patternFill>
          <bgColor rgb="FFFF0000"/>
        </patternFill>
      </fill>
    </dxf>
    <dxf>
      <fill>
        <patternFill>
          <bgColor rgb="FF60F52B"/>
        </patternFill>
      </fill>
    </dxf>
    <dxf>
      <fill>
        <patternFill>
          <bgColor rgb="FF24E83B"/>
        </patternFill>
      </fill>
    </dxf>
    <dxf>
      <fill>
        <patternFill>
          <bgColor rgb="FFFFFF00"/>
        </patternFill>
      </fill>
    </dxf>
    <dxf>
      <fill>
        <patternFill>
          <bgColor rgb="FFFF0000"/>
        </patternFill>
      </fill>
    </dxf>
    <dxf>
      <font>
        <color theme="0"/>
      </font>
      <fill>
        <patternFill>
          <bgColor rgb="FFFF0000"/>
        </patternFill>
      </fill>
    </dxf>
    <dxf>
      <font>
        <color theme="0"/>
      </font>
      <fill>
        <patternFill>
          <bgColor rgb="FFFF0000"/>
        </patternFill>
      </fill>
    </dxf>
    <dxf>
      <font>
        <color rgb="FF9C0006"/>
      </font>
      <fill>
        <patternFill>
          <bgColor rgb="FFFFC7CE"/>
        </patternFill>
      </fill>
    </dxf>
    <dxf>
      <font>
        <color rgb="FF9C0006"/>
      </font>
      <fill>
        <patternFill>
          <bgColor rgb="FFFFC7CE"/>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b val="0"/>
        <i val="0"/>
        <strike val="0"/>
        <condense val="0"/>
        <extend val="0"/>
        <outline val="0"/>
        <shadow val="0"/>
        <u val="none"/>
        <vertAlign val="baseline"/>
        <sz val="10"/>
        <color theme="1"/>
        <name val="Calibri"/>
        <scheme val="minor"/>
      </font>
      <fill>
        <patternFill patternType="none">
          <fgColor indexed="64"/>
          <bgColor auto="1"/>
        </patternFill>
      </fill>
    </dxf>
    <dxf>
      <font>
        <b val="0"/>
        <i val="0"/>
        <strike val="0"/>
        <condense val="0"/>
        <extend val="0"/>
        <outline val="0"/>
        <shadow val="0"/>
        <u val="none"/>
        <vertAlign val="baseline"/>
        <sz val="10"/>
        <color theme="1"/>
        <name val="Calibri"/>
        <scheme val="minor"/>
      </font>
      <border diagonalUp="0" diagonalDown="0" outline="0">
        <left style="thin">
          <color theme="4" tint="0.39997558519241921"/>
        </left>
        <right/>
        <top style="thin">
          <color theme="4" tint="0.39997558519241921"/>
        </top>
        <bottom style="thin">
          <color theme="4" tint="0.39997558519241921"/>
        </bottom>
      </border>
    </dxf>
    <dxf>
      <font>
        <b val="0"/>
        <i val="0"/>
        <strike val="0"/>
        <condense val="0"/>
        <extend val="0"/>
        <outline val="0"/>
        <shadow val="0"/>
        <u val="none"/>
        <vertAlign val="baseline"/>
        <sz val="10"/>
        <color theme="1"/>
        <name val="Calibri"/>
        <scheme val="minor"/>
      </font>
      <border diagonalUp="0" diagonalDown="0">
        <left style="thin">
          <color theme="4" tint="0.39997558519241921"/>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0"/>
        <color theme="1"/>
        <name val="Calibri"/>
        <scheme val="minor"/>
      </font>
      <border diagonalUp="0" diagonalDown="0">
        <left style="thin">
          <color theme="4" tint="0.39997558519241921"/>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0"/>
        <color theme="1"/>
        <name val="Calibri"/>
        <scheme val="minor"/>
      </font>
      <border diagonalUp="0" diagonalDown="0">
        <left/>
        <right/>
        <top style="thin">
          <color theme="4" tint="0.39997558519241921"/>
        </top>
        <bottom style="thin">
          <color theme="4" tint="0.39997558519241921"/>
        </bottom>
        <vertical/>
        <horizontal/>
      </border>
    </dxf>
    <dxf>
      <border outline="0">
        <left style="thin">
          <color theme="4" tint="0.39997558519241921"/>
        </left>
      </border>
    </dxf>
    <dxf>
      <font>
        <b val="0"/>
        <i val="0"/>
        <strike val="0"/>
        <condense val="0"/>
        <extend val="0"/>
        <outline val="0"/>
        <shadow val="0"/>
        <u val="none"/>
        <vertAlign val="baseline"/>
        <sz val="10"/>
        <color theme="1"/>
        <name val="Calibri"/>
        <scheme val="minor"/>
      </font>
    </dxf>
    <dxf>
      <font>
        <b val="0"/>
        <i val="0"/>
        <strike val="0"/>
        <condense val="0"/>
        <extend val="0"/>
        <outline val="0"/>
        <shadow val="0"/>
        <u val="none"/>
        <vertAlign val="baseline"/>
        <sz val="10"/>
        <color theme="1"/>
        <name val="Calibri"/>
        <scheme val="minor"/>
      </font>
    </dxf>
    <dxf>
      <font>
        <b val="0"/>
        <i val="0"/>
        <strike val="0"/>
        <condense val="0"/>
        <extend val="0"/>
        <outline val="0"/>
        <shadow val="0"/>
        <u val="none"/>
        <vertAlign val="baseline"/>
        <sz val="10"/>
        <color theme="1"/>
        <name val="Calibri"/>
        <scheme val="minor"/>
      </font>
      <numFmt numFmtId="13" formatCode="0%"/>
      <border diagonalUp="0" diagonalDown="0">
        <left style="thin">
          <color theme="4" tint="0.39997558519241921"/>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0"/>
        <color theme="1"/>
        <name val="Calibri"/>
        <scheme val="minor"/>
      </font>
      <border diagonalUp="0" diagonalDown="0">
        <left style="thin">
          <color theme="4" tint="0.39997558519241921"/>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0"/>
        <color theme="1"/>
        <name val="Calibri"/>
        <scheme val="minor"/>
      </font>
    </dxf>
    <dxf>
      <font>
        <b val="0"/>
        <i val="0"/>
        <strike val="0"/>
        <condense val="0"/>
        <extend val="0"/>
        <outline val="0"/>
        <shadow val="0"/>
        <u val="none"/>
        <vertAlign val="baseline"/>
        <sz val="10"/>
        <color theme="1"/>
        <name val="Calibri"/>
        <scheme val="minor"/>
      </font>
      <border diagonalUp="0" diagonalDown="0">
        <left style="thin">
          <color theme="4" tint="0.39997558519241921"/>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0"/>
        <color theme="1"/>
        <name val="Calibri"/>
        <scheme val="minor"/>
      </font>
    </dxf>
    <dxf>
      <font>
        <b val="0"/>
        <i val="0"/>
        <strike val="0"/>
        <condense val="0"/>
        <extend val="0"/>
        <outline val="0"/>
        <shadow val="0"/>
        <u val="none"/>
        <vertAlign val="baseline"/>
        <sz val="10"/>
        <color theme="1"/>
        <name val="Calibri"/>
        <scheme val="minor"/>
      </font>
    </dxf>
    <dxf>
      <font>
        <b val="0"/>
        <i val="0"/>
        <strike val="0"/>
        <condense val="0"/>
        <extend val="0"/>
        <outline val="0"/>
        <shadow val="0"/>
        <u val="none"/>
        <vertAlign val="baseline"/>
        <sz val="10"/>
        <color theme="1"/>
        <name val="Calibri"/>
        <scheme val="minor"/>
      </font>
    </dxf>
    <dxf>
      <font>
        <b val="0"/>
        <i val="0"/>
        <strike val="0"/>
        <condense val="0"/>
        <extend val="0"/>
        <outline val="0"/>
        <shadow val="0"/>
        <u val="none"/>
        <vertAlign val="baseline"/>
        <sz val="11"/>
        <color theme="1"/>
        <name val="Arial"/>
        <scheme val="none"/>
      </font>
    </dxf>
    <dxf>
      <font>
        <b val="0"/>
        <i val="0"/>
        <strike val="0"/>
        <condense val="0"/>
        <extend val="0"/>
        <outline val="0"/>
        <shadow val="0"/>
        <u val="none"/>
        <vertAlign val="baseline"/>
        <sz val="11"/>
        <color theme="1"/>
        <name val="Arial"/>
        <scheme val="none"/>
      </font>
    </dxf>
    <dxf>
      <font>
        <b val="0"/>
        <i val="0"/>
        <strike val="0"/>
        <condense val="0"/>
        <extend val="0"/>
        <outline val="0"/>
        <shadow val="0"/>
        <u val="none"/>
        <vertAlign val="baseline"/>
        <sz val="11"/>
        <color theme="1"/>
        <name val="Arial"/>
        <scheme val="none"/>
      </font>
    </dxf>
    <dxf>
      <font>
        <b val="0"/>
        <i val="0"/>
        <strike val="0"/>
        <condense val="0"/>
        <extend val="0"/>
        <outline val="0"/>
        <shadow val="0"/>
        <u val="none"/>
        <vertAlign val="baseline"/>
        <sz val="11"/>
        <color theme="1"/>
        <name val="Arial"/>
        <scheme val="none"/>
      </font>
    </dxf>
    <dxf>
      <font>
        <b val="0"/>
        <i val="0"/>
        <strike val="0"/>
        <condense val="0"/>
        <extend val="0"/>
        <outline val="0"/>
        <shadow val="0"/>
        <u val="none"/>
        <vertAlign val="baseline"/>
        <sz val="11"/>
        <color theme="1"/>
        <name val="Arial"/>
        <scheme val="none"/>
      </font>
    </dxf>
    <dxf>
      <font>
        <b val="0"/>
        <i val="0"/>
        <strike val="0"/>
        <condense val="0"/>
        <extend val="0"/>
        <outline val="0"/>
        <shadow val="0"/>
        <u val="none"/>
        <vertAlign val="baseline"/>
        <sz val="11"/>
        <color theme="1"/>
        <name val="Arial"/>
        <scheme val="none"/>
      </font>
    </dxf>
    <dxf>
      <font>
        <b val="0"/>
        <i val="0"/>
        <strike val="0"/>
        <condense val="0"/>
        <extend val="0"/>
        <outline val="0"/>
        <shadow val="0"/>
        <u val="none"/>
        <vertAlign val="baseline"/>
        <sz val="10"/>
        <color theme="1"/>
        <name val="Calibri"/>
        <scheme val="minor"/>
      </font>
    </dxf>
  </dxfs>
  <tableStyles count="0" defaultTableStyle="TableStyleMedium2" defaultPivotStyle="PivotStyleLight16"/>
  <colors>
    <mruColors>
      <color rgb="FFCEE193"/>
      <color rgb="FF00FF00"/>
      <color rgb="FFD6BBEB"/>
      <color rgb="FFEE0000"/>
      <color rgb="FFFC6A28"/>
      <color rgb="FFFABA86"/>
      <color rgb="FFCBA9E5"/>
      <color rgb="FFFF656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externalLink" Target="externalLinks/externalLink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5.xml"/><Relationship Id="rId28" Type="http://schemas.microsoft.com/office/2017/10/relationships/person" Target="persons/person.xml"/><Relationship Id="rId10" Type="http://schemas.openxmlformats.org/officeDocument/2006/relationships/worksheet" Target="worksheets/sheet10.xml"/><Relationship Id="rId19"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4.xml"/><Relationship Id="rId27" Type="http://schemas.openxmlformats.org/officeDocument/2006/relationships/calcChain" Target="calcChain.xml"/></Relationships>
</file>

<file path=xl/ctrlProps/ctrlProp1.xml><?xml version="1.0" encoding="utf-8"?>
<formControlPr xmlns="http://schemas.microsoft.com/office/spreadsheetml/2009/9/main" objectType="CheckBox" checked="Checked" fmlaLink="$A$15" lockText="1" noThreeD="1"/>
</file>

<file path=xl/ctrlProps/ctrlProp2.xml><?xml version="1.0" encoding="utf-8"?>
<formControlPr xmlns="http://schemas.microsoft.com/office/spreadsheetml/2009/9/main" objectType="CheckBox" checked="Checked" fmlaLink="$A$16" lockText="1" noThreeD="1"/>
</file>

<file path=xl/ctrlProps/ctrlProp3.xml><?xml version="1.0" encoding="utf-8"?>
<formControlPr xmlns="http://schemas.microsoft.com/office/spreadsheetml/2009/9/main" objectType="CheckBox" checked="Checked" fmlaLink="$A$17" lockText="1" noThreeD="1"/>
</file>

<file path=xl/ctrlProps/ctrlProp4.xml><?xml version="1.0" encoding="utf-8"?>
<formControlPr xmlns="http://schemas.microsoft.com/office/spreadsheetml/2009/9/main" objectType="CheckBox" checked="Checked" fmlaLink="$A$18"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3.jpeg"/></Relationships>
</file>

<file path=xl/drawings/_rels/drawing4.xml.rels><?xml version="1.0" encoding="UTF-8" standalone="yes"?>
<Relationships xmlns="http://schemas.openxmlformats.org/package/2006/relationships"><Relationship Id="rId1" Type="http://schemas.openxmlformats.org/officeDocument/2006/relationships/image" Target="../media/image3.jpeg"/></Relationships>
</file>

<file path=xl/drawings/_rels/drawing5.xml.rels><?xml version="1.0" encoding="UTF-8" standalone="yes"?>
<Relationships xmlns="http://schemas.openxmlformats.org/package/2006/relationships"><Relationship Id="rId1" Type="http://schemas.openxmlformats.org/officeDocument/2006/relationships/image" Target="../media/image3.jpeg"/></Relationships>
</file>

<file path=xl/drawings/_rels/drawing6.xml.rels><?xml version="1.0" encoding="UTF-8" standalone="yes"?>
<Relationships xmlns="http://schemas.openxmlformats.org/package/2006/relationships"><Relationship Id="rId1" Type="http://schemas.openxmlformats.org/officeDocument/2006/relationships/image" Target="../media/image3.jpeg"/></Relationships>
</file>

<file path=xl/drawings/_rels/drawing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4.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5.jpeg"/></Relationships>
</file>

<file path=xl/drawings/_rels/drawing1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5.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557892</xdr:colOff>
      <xdr:row>0</xdr:row>
      <xdr:rowOff>54431</xdr:rowOff>
    </xdr:from>
    <xdr:to>
      <xdr:col>1</xdr:col>
      <xdr:colOff>1360714</xdr:colOff>
      <xdr:row>1</xdr:row>
      <xdr:rowOff>235480</xdr:rowOff>
    </xdr:to>
    <xdr:pic>
      <xdr:nvPicPr>
        <xdr:cNvPr id="2" name="image2.jpg" descr="logo nuevo contraloria">
          <a:extLst>
            <a:ext uri="{FF2B5EF4-FFF2-40B4-BE49-F238E27FC236}">
              <a16:creationId xmlns:a16="http://schemas.microsoft.com/office/drawing/2014/main" xmlns=""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7892" y="54431"/>
          <a:ext cx="802822" cy="8614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491216</xdr:colOff>
      <xdr:row>0</xdr:row>
      <xdr:rowOff>54431</xdr:rowOff>
    </xdr:from>
    <xdr:to>
      <xdr:col>1</xdr:col>
      <xdr:colOff>1790700</xdr:colOff>
      <xdr:row>1</xdr:row>
      <xdr:rowOff>235480</xdr:rowOff>
    </xdr:to>
    <xdr:pic>
      <xdr:nvPicPr>
        <xdr:cNvPr id="3" name="image2.jpg" descr="logo nuevo contraloria">
          <a:extLst>
            <a:ext uri="{FF2B5EF4-FFF2-40B4-BE49-F238E27FC236}">
              <a16:creationId xmlns:a16="http://schemas.microsoft.com/office/drawing/2014/main" xmlns=""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1216" y="54431"/>
          <a:ext cx="1299484" cy="8668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513137</xdr:colOff>
      <xdr:row>0</xdr:row>
      <xdr:rowOff>84604</xdr:rowOff>
    </xdr:from>
    <xdr:to>
      <xdr:col>1</xdr:col>
      <xdr:colOff>1667384</xdr:colOff>
      <xdr:row>1</xdr:row>
      <xdr:rowOff>291352</xdr:rowOff>
    </xdr:to>
    <xdr:pic>
      <xdr:nvPicPr>
        <xdr:cNvPr id="2" name="image2.jpg" descr="logo nuevo contraloria">
          <a:extLst>
            <a:ext uri="{FF2B5EF4-FFF2-40B4-BE49-F238E27FC236}">
              <a16:creationId xmlns:a16="http://schemas.microsoft.com/office/drawing/2014/main" xmlns="" id="{00000000-0008-0000-03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5137" y="84604"/>
          <a:ext cx="1154247" cy="8118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409574</xdr:colOff>
      <xdr:row>0</xdr:row>
      <xdr:rowOff>123826</xdr:rowOff>
    </xdr:from>
    <xdr:to>
      <xdr:col>1</xdr:col>
      <xdr:colOff>1721067</xdr:colOff>
      <xdr:row>1</xdr:row>
      <xdr:rowOff>364135</xdr:rowOff>
    </xdr:to>
    <xdr:pic>
      <xdr:nvPicPr>
        <xdr:cNvPr id="2" name="image2.jpg" descr="logo nuevo contraloria">
          <a:extLst>
            <a:ext uri="{FF2B5EF4-FFF2-40B4-BE49-F238E27FC236}">
              <a16:creationId xmlns:a16="http://schemas.microsoft.com/office/drawing/2014/main" xmlns="" id="{00000000-0008-0000-04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71574" y="123826"/>
          <a:ext cx="1311493" cy="8975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255494</xdr:colOff>
      <xdr:row>0</xdr:row>
      <xdr:rowOff>59391</xdr:rowOff>
    </xdr:from>
    <xdr:to>
      <xdr:col>1</xdr:col>
      <xdr:colOff>1209675</xdr:colOff>
      <xdr:row>1</xdr:row>
      <xdr:rowOff>218066</xdr:rowOff>
    </xdr:to>
    <xdr:pic>
      <xdr:nvPicPr>
        <xdr:cNvPr id="2" name="image2.jpg" descr="logo nuevo contraloria">
          <a:extLst>
            <a:ext uri="{FF2B5EF4-FFF2-40B4-BE49-F238E27FC236}">
              <a16:creationId xmlns:a16="http://schemas.microsoft.com/office/drawing/2014/main" xmlns="" id="{00000000-0008-0000-05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84094" y="59391"/>
          <a:ext cx="954181" cy="6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598713</xdr:colOff>
      <xdr:row>0</xdr:row>
      <xdr:rowOff>13608</xdr:rowOff>
    </xdr:from>
    <xdr:to>
      <xdr:col>0</xdr:col>
      <xdr:colOff>1850571</xdr:colOff>
      <xdr:row>1</xdr:row>
      <xdr:rowOff>294896</xdr:rowOff>
    </xdr:to>
    <xdr:pic>
      <xdr:nvPicPr>
        <xdr:cNvPr id="2" name="image2.jpg" descr="logo nuevo contraloria">
          <a:extLst>
            <a:ext uri="{FF2B5EF4-FFF2-40B4-BE49-F238E27FC236}">
              <a16:creationId xmlns:a16="http://schemas.microsoft.com/office/drawing/2014/main" xmlns="" id="{00000000-0008-0000-06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98713" y="13608"/>
          <a:ext cx="1251858" cy="8800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435429</xdr:colOff>
      <xdr:row>1</xdr:row>
      <xdr:rowOff>81643</xdr:rowOff>
    </xdr:from>
    <xdr:to>
      <xdr:col>0</xdr:col>
      <xdr:colOff>1823356</xdr:colOff>
      <xdr:row>2</xdr:row>
      <xdr:rowOff>417761</xdr:rowOff>
    </xdr:to>
    <xdr:pic>
      <xdr:nvPicPr>
        <xdr:cNvPr id="2" name="image2.jpg" descr="logo nuevo contraloria">
          <a:extLst>
            <a:ext uri="{FF2B5EF4-FFF2-40B4-BE49-F238E27FC236}">
              <a16:creationId xmlns:a16="http://schemas.microsoft.com/office/drawing/2014/main" xmlns="" id="{00000000-0008-0000-07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35429" y="285750"/>
          <a:ext cx="1387927" cy="9756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406791</xdr:colOff>
      <xdr:row>0</xdr:row>
      <xdr:rowOff>150333</xdr:rowOff>
    </xdr:from>
    <xdr:to>
      <xdr:col>0</xdr:col>
      <xdr:colOff>1823357</xdr:colOff>
      <xdr:row>1</xdr:row>
      <xdr:rowOff>417822</xdr:rowOff>
    </xdr:to>
    <xdr:pic>
      <xdr:nvPicPr>
        <xdr:cNvPr id="2" name="image2.jpg" descr="logo nuevo contraloria">
          <a:extLst>
            <a:ext uri="{FF2B5EF4-FFF2-40B4-BE49-F238E27FC236}">
              <a16:creationId xmlns:a16="http://schemas.microsoft.com/office/drawing/2014/main" xmlns="" id="{00000000-0008-0000-08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6791" y="150333"/>
          <a:ext cx="1416566" cy="11111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302079</xdr:colOff>
      <xdr:row>1</xdr:row>
      <xdr:rowOff>119745</xdr:rowOff>
    </xdr:from>
    <xdr:to>
      <xdr:col>0</xdr:col>
      <xdr:colOff>1524000</xdr:colOff>
      <xdr:row>2</xdr:row>
      <xdr:rowOff>584766</xdr:rowOff>
    </xdr:to>
    <xdr:pic>
      <xdr:nvPicPr>
        <xdr:cNvPr id="3" name="image2.jpg" descr="logo nuevo contraloria">
          <a:extLst>
            <a:ext uri="{FF2B5EF4-FFF2-40B4-BE49-F238E27FC236}">
              <a16:creationId xmlns:a16="http://schemas.microsoft.com/office/drawing/2014/main" xmlns="" id="{00000000-0008-0000-09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2079" y="310245"/>
          <a:ext cx="1221921" cy="7983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xdr:from>
      <xdr:col>1</xdr:col>
      <xdr:colOff>1955686</xdr:colOff>
      <xdr:row>96</xdr:row>
      <xdr:rowOff>1</xdr:rowOff>
    </xdr:from>
    <xdr:to>
      <xdr:col>6</xdr:col>
      <xdr:colOff>998083</xdr:colOff>
      <xdr:row>96</xdr:row>
      <xdr:rowOff>464703</xdr:rowOff>
    </xdr:to>
    <xdr:sp macro="" textlink="">
      <xdr:nvSpPr>
        <xdr:cNvPr id="2" name="2 Rectángulo redondeado">
          <a:extLst>
            <a:ext uri="{FF2B5EF4-FFF2-40B4-BE49-F238E27FC236}">
              <a16:creationId xmlns:a16="http://schemas.microsoft.com/office/drawing/2014/main" xmlns="" id="{00000000-0008-0000-0A00-000002000000}"/>
            </a:ext>
          </a:extLst>
        </xdr:cNvPr>
        <xdr:cNvSpPr/>
      </xdr:nvSpPr>
      <xdr:spPr>
        <a:xfrm>
          <a:off x="2412886" y="49366715"/>
          <a:ext cx="11702483" cy="464702"/>
        </a:xfrm>
        <a:prstGeom prst="roundRect">
          <a:avLst/>
        </a:prstGeom>
        <a:solidFill>
          <a:srgbClr val="C000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2800" b="1">
              <a:solidFill>
                <a:schemeClr val="bg1"/>
              </a:solidFill>
            </a:rPr>
            <a:t>CONCEPTO</a:t>
          </a:r>
          <a:r>
            <a:rPr lang="es-CO" sz="2800" b="1" baseline="0">
              <a:solidFill>
                <a:schemeClr val="bg1"/>
              </a:solidFill>
            </a:rPr>
            <a:t> PRESUPUESTAL</a:t>
          </a:r>
          <a:endParaRPr lang="es-CO" sz="1100" b="1">
            <a:solidFill>
              <a:schemeClr val="bg1"/>
            </a:solidFill>
          </a:endParaRPr>
        </a:p>
      </xdr:txBody>
    </xdr:sp>
    <xdr:clientData/>
  </xdr:twoCellAnchor>
  <xdr:twoCellAnchor editAs="oneCell">
    <xdr:from>
      <xdr:col>1</xdr:col>
      <xdr:colOff>454478</xdr:colOff>
      <xdr:row>1</xdr:row>
      <xdr:rowOff>119745</xdr:rowOff>
    </xdr:from>
    <xdr:to>
      <xdr:col>1</xdr:col>
      <xdr:colOff>1828799</xdr:colOff>
      <xdr:row>2</xdr:row>
      <xdr:rowOff>385278</xdr:rowOff>
    </xdr:to>
    <xdr:pic>
      <xdr:nvPicPr>
        <xdr:cNvPr id="3" name="image2.jpg" descr="logo nuevo contraloria">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2153" y="300720"/>
          <a:ext cx="1374321" cy="10180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454478</xdr:colOff>
      <xdr:row>1</xdr:row>
      <xdr:rowOff>119745</xdr:rowOff>
    </xdr:from>
    <xdr:to>
      <xdr:col>1</xdr:col>
      <xdr:colOff>1828799</xdr:colOff>
      <xdr:row>2</xdr:row>
      <xdr:rowOff>385278</xdr:rowOff>
    </xdr:to>
    <xdr:pic>
      <xdr:nvPicPr>
        <xdr:cNvPr id="4" name="image2.jpg" descr="logo nuevo contraloria">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2153" y="300720"/>
          <a:ext cx="1374321" cy="10180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454478</xdr:colOff>
      <xdr:row>1</xdr:row>
      <xdr:rowOff>119745</xdr:rowOff>
    </xdr:from>
    <xdr:to>
      <xdr:col>1</xdr:col>
      <xdr:colOff>1828799</xdr:colOff>
      <xdr:row>2</xdr:row>
      <xdr:rowOff>385278</xdr:rowOff>
    </xdr:to>
    <xdr:pic>
      <xdr:nvPicPr>
        <xdr:cNvPr id="5" name="image2.jpg" descr="logo nuevo contraloria">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2153" y="300720"/>
          <a:ext cx="1374321" cy="10180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47</xdr:col>
      <xdr:colOff>195943</xdr:colOff>
      <xdr:row>19</xdr:row>
      <xdr:rowOff>97971</xdr:rowOff>
    </xdr:from>
    <xdr:to>
      <xdr:col>51</xdr:col>
      <xdr:colOff>49530</xdr:colOff>
      <xdr:row>28</xdr:row>
      <xdr:rowOff>173355</xdr:rowOff>
    </xdr:to>
    <xdr:pic>
      <xdr:nvPicPr>
        <xdr:cNvPr id="2" name="Imagen 1">
          <a:extLst>
            <a:ext uri="{FF2B5EF4-FFF2-40B4-BE49-F238E27FC236}">
              <a16:creationId xmlns:a16="http://schemas.microsoft.com/office/drawing/2014/main" xmlns="" id="{00000000-0008-0000-0B00-000002000000}"/>
            </a:ext>
          </a:extLst>
        </xdr:cNvPr>
        <xdr:cNvPicPr/>
      </xdr:nvPicPr>
      <xdr:blipFill>
        <a:blip xmlns:r="http://schemas.openxmlformats.org/officeDocument/2006/relationships" r:embed="rId1"/>
        <a:stretch>
          <a:fillRect/>
        </a:stretch>
      </xdr:blipFill>
      <xdr:spPr>
        <a:xfrm>
          <a:off x="69298457" y="10765971"/>
          <a:ext cx="5612130" cy="2992755"/>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xdr:from>
      <xdr:col>2</xdr:col>
      <xdr:colOff>809625</xdr:colOff>
      <xdr:row>10</xdr:row>
      <xdr:rowOff>333375</xdr:rowOff>
    </xdr:from>
    <xdr:to>
      <xdr:col>2</xdr:col>
      <xdr:colOff>1847850</xdr:colOff>
      <xdr:row>11</xdr:row>
      <xdr:rowOff>257175</xdr:rowOff>
    </xdr:to>
    <xdr:sp macro="" textlink="">
      <xdr:nvSpPr>
        <xdr:cNvPr id="3" name="Flecha derecha 2">
          <a:extLst>
            <a:ext uri="{FF2B5EF4-FFF2-40B4-BE49-F238E27FC236}">
              <a16:creationId xmlns:a16="http://schemas.microsoft.com/office/drawing/2014/main" xmlns="" id="{00000000-0008-0000-0C00-000003000000}"/>
            </a:ext>
          </a:extLst>
        </xdr:cNvPr>
        <xdr:cNvSpPr/>
      </xdr:nvSpPr>
      <xdr:spPr>
        <a:xfrm>
          <a:off x="2990850" y="2152650"/>
          <a:ext cx="1038225" cy="342900"/>
        </a:xfrm>
        <a:prstGeom prst="rightArrow">
          <a:avLst/>
        </a:prstGeom>
        <a:solidFill>
          <a:srgbClr val="C00000"/>
        </a:solidFill>
        <a:ln>
          <a:solidFill>
            <a:srgbClr val="FFFF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editAs="oneCell">
    <xdr:from>
      <xdr:col>1</xdr:col>
      <xdr:colOff>225879</xdr:colOff>
      <xdr:row>1</xdr:row>
      <xdr:rowOff>176895</xdr:rowOff>
    </xdr:from>
    <xdr:to>
      <xdr:col>1</xdr:col>
      <xdr:colOff>1590675</xdr:colOff>
      <xdr:row>2</xdr:row>
      <xdr:rowOff>327591</xdr:rowOff>
    </xdr:to>
    <xdr:pic>
      <xdr:nvPicPr>
        <xdr:cNvPr id="4" name="image2.jpg" descr="logo nuevo contraloria">
          <a:extLst>
            <a:ext uri="{FF2B5EF4-FFF2-40B4-BE49-F238E27FC236}">
              <a16:creationId xmlns:a16="http://schemas.microsoft.com/office/drawing/2014/main" xmlns="" id="{00000000-0008-0000-0C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7829" y="367395"/>
          <a:ext cx="1364796" cy="7983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521494</xdr:colOff>
      <xdr:row>1</xdr:row>
      <xdr:rowOff>178592</xdr:rowOff>
    </xdr:from>
    <xdr:to>
      <xdr:col>0</xdr:col>
      <xdr:colOff>1877986</xdr:colOff>
      <xdr:row>2</xdr:row>
      <xdr:rowOff>400049</xdr:rowOff>
    </xdr:to>
    <xdr:pic>
      <xdr:nvPicPr>
        <xdr:cNvPr id="3" name="image2.jpg" descr="logo nuevo contraloria">
          <a:extLst>
            <a:ext uri="{FF2B5EF4-FFF2-40B4-BE49-F238E27FC236}">
              <a16:creationId xmlns:a16="http://schemas.microsoft.com/office/drawing/2014/main" xmlns="" id="{00000000-0008-0000-0D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1494" y="369092"/>
          <a:ext cx="1356492" cy="8691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210594</xdr:colOff>
      <xdr:row>0</xdr:row>
      <xdr:rowOff>58218</xdr:rowOff>
    </xdr:from>
    <xdr:to>
      <xdr:col>0</xdr:col>
      <xdr:colOff>1388630</xdr:colOff>
      <xdr:row>0</xdr:row>
      <xdr:rowOff>832715</xdr:rowOff>
    </xdr:to>
    <xdr:pic>
      <xdr:nvPicPr>
        <xdr:cNvPr id="2" name="image2.jpg" descr="logo nuevo contraloria">
          <a:extLst>
            <a:ext uri="{FF2B5EF4-FFF2-40B4-BE49-F238E27FC236}">
              <a16:creationId xmlns:a16="http://schemas.microsoft.com/office/drawing/2014/main" xmlns="" id="{00000000-0008-0000-0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0594" y="58218"/>
          <a:ext cx="1174861" cy="7713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210594</xdr:colOff>
      <xdr:row>0</xdr:row>
      <xdr:rowOff>58218</xdr:rowOff>
    </xdr:from>
    <xdr:to>
      <xdr:col>0</xdr:col>
      <xdr:colOff>1388630</xdr:colOff>
      <xdr:row>0</xdr:row>
      <xdr:rowOff>832715</xdr:rowOff>
    </xdr:to>
    <xdr:pic>
      <xdr:nvPicPr>
        <xdr:cNvPr id="3" name="image2.jpg" descr="logo nuevo contraloria">
          <a:extLst>
            <a:ext uri="{FF2B5EF4-FFF2-40B4-BE49-F238E27FC236}">
              <a16:creationId xmlns:a16="http://schemas.microsoft.com/office/drawing/2014/main" xmlns="" id="{00000000-0008-0000-0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0594" y="58218"/>
          <a:ext cx="1178036" cy="77449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xdr:col>
      <xdr:colOff>239568</xdr:colOff>
      <xdr:row>0</xdr:row>
      <xdr:rowOff>82742</xdr:rowOff>
    </xdr:from>
    <xdr:to>
      <xdr:col>1</xdr:col>
      <xdr:colOff>1598468</xdr:colOff>
      <xdr:row>0</xdr:row>
      <xdr:rowOff>909730</xdr:rowOff>
    </xdr:to>
    <xdr:pic>
      <xdr:nvPicPr>
        <xdr:cNvPr id="2" name="image2.jpg" descr="logo nuevo contraloria">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68168" y="82742"/>
          <a:ext cx="1352550" cy="8269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1</xdr:col>
          <xdr:colOff>381000</xdr:colOff>
          <xdr:row>14</xdr:row>
          <xdr:rowOff>19050</xdr:rowOff>
        </xdr:from>
        <xdr:to>
          <xdr:col>2</xdr:col>
          <xdr:colOff>2057400</xdr:colOff>
          <xdr:row>14</xdr:row>
          <xdr:rowOff>371475</xdr:rowOff>
        </xdr:to>
        <xdr:sp macro="" textlink="">
          <xdr:nvSpPr>
            <xdr:cNvPr id="2071" name="Check Box 23" hidden="1">
              <a:extLst>
                <a:ext uri="{63B3BB69-23CF-44E3-9099-C40C66FF867C}">
                  <a14:compatExt spid="_x0000_s2071"/>
                </a:ext>
                <a:ext uri="{FF2B5EF4-FFF2-40B4-BE49-F238E27FC236}">
                  <a16:creationId xmlns:a16="http://schemas.microsoft.com/office/drawing/2014/main" xmlns="" id="{00000000-0008-0000-0F00-00001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Segoe UI"/>
                  <a:cs typeface="Segoe UI"/>
                </a:rPr>
                <a:t>VALOR PAGADO OTRAS FORMAS DE EJECUCIÓN DEL GASTO DE LA VIGENCIA AUDITAR DIFERENTES A CONTRATACIÓN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381000</xdr:colOff>
          <xdr:row>15</xdr:row>
          <xdr:rowOff>19050</xdr:rowOff>
        </xdr:from>
        <xdr:to>
          <xdr:col>2</xdr:col>
          <xdr:colOff>1819275</xdr:colOff>
          <xdr:row>16</xdr:row>
          <xdr:rowOff>0</xdr:rowOff>
        </xdr:to>
        <xdr:sp macro="" textlink="">
          <xdr:nvSpPr>
            <xdr:cNvPr id="2072" name="Check Box 24" hidden="1">
              <a:extLst>
                <a:ext uri="{63B3BB69-23CF-44E3-9099-C40C66FF867C}">
                  <a14:compatExt spid="_x0000_s2072"/>
                </a:ext>
                <a:ext uri="{FF2B5EF4-FFF2-40B4-BE49-F238E27FC236}">
                  <a16:creationId xmlns:a16="http://schemas.microsoft.com/office/drawing/2014/main" xmlns="" id="{00000000-0008-0000-0F00-00001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Segoe UI"/>
                  <a:cs typeface="Segoe UI"/>
                </a:rPr>
                <a:t>VALOR PAGADO CONTRATOS SUSCRITOS EN LA VIGENCIA A AUDITAR</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381000</xdr:colOff>
          <xdr:row>16</xdr:row>
          <xdr:rowOff>19050</xdr:rowOff>
        </xdr:from>
        <xdr:to>
          <xdr:col>2</xdr:col>
          <xdr:colOff>1819275</xdr:colOff>
          <xdr:row>17</xdr:row>
          <xdr:rowOff>0</xdr:rowOff>
        </xdr:to>
        <xdr:sp macro="" textlink="">
          <xdr:nvSpPr>
            <xdr:cNvPr id="2073" name="Check Box 25" hidden="1">
              <a:extLst>
                <a:ext uri="{63B3BB69-23CF-44E3-9099-C40C66FF867C}">
                  <a14:compatExt spid="_x0000_s2073"/>
                </a:ext>
                <a:ext uri="{FF2B5EF4-FFF2-40B4-BE49-F238E27FC236}">
                  <a16:creationId xmlns:a16="http://schemas.microsoft.com/office/drawing/2014/main" xmlns="" id="{00000000-0008-0000-0F00-00001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Segoe UI"/>
                  <a:cs typeface="Segoe UI"/>
                </a:rPr>
                <a:t>VALOR PAGADO ADICIONES A CONTRATOS SUSCRITOS EN VIGENCIAS ANTERIORES EFECTUADAS DENTRO DE LA VIGENCIA AUDITAR</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381000</xdr:colOff>
          <xdr:row>17</xdr:row>
          <xdr:rowOff>19050</xdr:rowOff>
        </xdr:from>
        <xdr:to>
          <xdr:col>2</xdr:col>
          <xdr:colOff>1819275</xdr:colOff>
          <xdr:row>18</xdr:row>
          <xdr:rowOff>0</xdr:rowOff>
        </xdr:to>
        <xdr:sp macro="" textlink="">
          <xdr:nvSpPr>
            <xdr:cNvPr id="2074" name="Check Box 26" hidden="1">
              <a:extLst>
                <a:ext uri="{63B3BB69-23CF-44E3-9099-C40C66FF867C}">
                  <a14:compatExt spid="_x0000_s2074"/>
                </a:ext>
                <a:ext uri="{FF2B5EF4-FFF2-40B4-BE49-F238E27FC236}">
                  <a16:creationId xmlns:a16="http://schemas.microsoft.com/office/drawing/2014/main" xmlns="" id="{00000000-0008-0000-0F00-00001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Segoe UI"/>
                  <a:cs typeface="Segoe UI"/>
                </a:rPr>
                <a:t>VALOR PAGADO CONTRATOS SUSCRITOS EN VIGENCIAS ANTERIORES CON GESTIÓN FISCAL EN LA VIGENCIA A AUDITAR </a:t>
              </a:r>
            </a:p>
          </xdr:txBody>
        </xdr:sp>
        <xdr:clientData fLocksWithSheet="0"/>
      </xdr:twoCellAnchor>
    </mc:Choice>
    <mc:Fallback/>
  </mc:AlternateContent>
  <xdr:twoCellAnchor editAs="oneCell">
    <xdr:from>
      <xdr:col>1</xdr:col>
      <xdr:colOff>239568</xdr:colOff>
      <xdr:row>0</xdr:row>
      <xdr:rowOff>82742</xdr:rowOff>
    </xdr:from>
    <xdr:to>
      <xdr:col>1</xdr:col>
      <xdr:colOff>1598468</xdr:colOff>
      <xdr:row>0</xdr:row>
      <xdr:rowOff>909730</xdr:rowOff>
    </xdr:to>
    <xdr:pic>
      <xdr:nvPicPr>
        <xdr:cNvPr id="7" name="image2.jpg" descr="logo nuevo contraloria">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68168" y="82742"/>
          <a:ext cx="1358900" cy="8269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527019</xdr:colOff>
      <xdr:row>0</xdr:row>
      <xdr:rowOff>62593</xdr:rowOff>
    </xdr:from>
    <xdr:to>
      <xdr:col>0</xdr:col>
      <xdr:colOff>1317171</xdr:colOff>
      <xdr:row>0</xdr:row>
      <xdr:rowOff>1038177</xdr:rowOff>
    </xdr:to>
    <xdr:pic>
      <xdr:nvPicPr>
        <xdr:cNvPr id="2" name="image2.jpg" descr="logo nuevo contraloria">
          <a:extLst>
            <a:ext uri="{FF2B5EF4-FFF2-40B4-BE49-F238E27FC236}">
              <a16:creationId xmlns:a16="http://schemas.microsoft.com/office/drawing/2014/main" xmlns="" id="{00000000-0008-0000-1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7019" y="62593"/>
          <a:ext cx="790152" cy="9755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527018</xdr:colOff>
      <xdr:row>0</xdr:row>
      <xdr:rowOff>62593</xdr:rowOff>
    </xdr:from>
    <xdr:to>
      <xdr:col>0</xdr:col>
      <xdr:colOff>1777999</xdr:colOff>
      <xdr:row>0</xdr:row>
      <xdr:rowOff>1038177</xdr:rowOff>
    </xdr:to>
    <xdr:pic>
      <xdr:nvPicPr>
        <xdr:cNvPr id="3" name="image2.jpg" descr="logo nuevo contraloria">
          <a:extLst>
            <a:ext uri="{FF2B5EF4-FFF2-40B4-BE49-F238E27FC236}">
              <a16:creationId xmlns:a16="http://schemas.microsoft.com/office/drawing/2014/main" xmlns="" id="{00000000-0008-0000-1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7018" y="62593"/>
          <a:ext cx="1250981" cy="9755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ER/AppData/Roaming/Microsoft/Excel/PVCGF-04-08%20Proceso%20de%20gasto%20p&#250;blico%20(1)%20(version%201).xlsb"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USER/Downloads/PVCGF-%2004-13%20Instrumento%20para%20la%20Calificacio&#769;n%20a%20la%20Gestio&#769;n%20Fiscal%20AFGR%20230824.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contrabog/Downloads/PVCGF-04-06%20Procesos%20presupuesto%20de%20ingresos%20y%20de%20gastos%20o%20costos%20y%20gastos%20(2).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USER/Documents/Matrices%20Auditoria%20Financiera%20de%20gestion%20y%20resultados/PVCGF-%2004-13%20Instrumento%20para%20la%20Calificacio&#769;n%20a%20la%20Gestio&#769;n%20Fiscal%20AFGR%20230824.xlsm"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C:/Users/USER/Documents/Formatos%20Auditoria%20Financiera/PVCGF-04-06%20Procesos%20presupuesto%20de%20ingresos%20y%20de%20gastos%20o%20costos%20y%20gasto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ANALÍTICAS GASTO PÚBLICO"/>
      <sheetName val="MATERIALIDAD GASTO PÚBLICO"/>
      <sheetName val="CALIFICACION GASTO PUBLICO"/>
    </sheetNames>
    <sheetDataSet>
      <sheetData sheetId="0"/>
      <sheetData sheetId="1"/>
      <sheetData sheetId="2"/>
      <sheetData sheetId="3">
        <row r="65518">
          <cell r="A65518" t="str">
            <v>NO APLICA</v>
          </cell>
        </row>
        <row r="65519">
          <cell r="A65519" t="str">
            <v>ETAPA 1</v>
          </cell>
        </row>
        <row r="65520">
          <cell r="A65520" t="str">
            <v>ETAPA 2</v>
          </cell>
        </row>
        <row r="65521">
          <cell r="A65521" t="str">
            <v>ETAPA 3</v>
          </cell>
        </row>
        <row r="65522">
          <cell r="A65522" t="str">
            <v>ETAPA 1 Y 2</v>
          </cell>
        </row>
        <row r="65523">
          <cell r="A65523" t="str">
            <v>ETAPAS 2 Y 3</v>
          </cell>
        </row>
        <row r="65524">
          <cell r="A65524" t="str">
            <v>TODAS LAS ETAPAS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ENECIMIENTO_PUBLICAS"/>
      <sheetName val="Riesgos general"/>
      <sheetName val="LISTA"/>
      <sheetName val="Riesgo muestra"/>
      <sheetName val="LISTAS"/>
      <sheetName val="2. RIESGOS DE AUDITORÍA"/>
      <sheetName val="DATOS ANÁLISIS"/>
      <sheetName val="Hoja1"/>
      <sheetName val="1. ANALÍTICA ESTADO SITUACIÓN F"/>
      <sheetName val="2. ANALÍTICA ESTADO DE RESULTAD"/>
      <sheetName val="3.MATERIALIDAD FINANCIERA"/>
      <sheetName val="4. MATERIALIDAD PRESUPUESTAL"/>
      <sheetName val="ANALÍTICAS GASTO PÚBLICO"/>
      <sheetName val="MATERIALIDAD GASTO PÚBLICO"/>
      <sheetName val="CALIFICACION GASTO PUBLICO"/>
      <sheetName val="6. PLANES Y PROYECTOS"/>
      <sheetName val="PT 09-AF MATERIALIDAD EF MCGR"/>
      <sheetName val="LISTA MATERIALIDAD CGR"/>
      <sheetName val="PT 10-AF A.HALLAZGOS OPINIÓN EF"/>
      <sheetName val="3. MATERIALIDAD FINANCIERA"/>
      <sheetName val="7. HALLAZGOS OPINIÓN_FIN"/>
      <sheetName val="8. DESEMPEÑO FINANCIERO"/>
      <sheetName val="Listas PPTO"/>
      <sheetName val="9. HALLAZGOS CONCEPTO_PRES"/>
      <sheetName val="GESTIÓN CONTRACTUAL_MIXTAS"/>
      <sheetName val="GESTIÓN CONTRACTUAL_PÚBLICAS"/>
      <sheetName val="10. GESTION FINANCIERA PUBLICAS"/>
      <sheetName val="Control"/>
      <sheetName val="Riesgos CB"/>
      <sheetName val="1. RIESGOS Y CONTROLES"/>
      <sheetName val="10. FENECIMIENTO"/>
      <sheetName val="FENECIMIENTO CUENTA"/>
      <sheetName val="11.Referencia - Marcas "/>
      <sheetName val="PLAN ESTRATÉGICO - MIXTAS"/>
      <sheetName val="GESTION FINANCIERA MIXTAS"/>
      <sheetName val="PVCGF- 04-13 Instrumento para 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row r="7">
          <cell r="C7" t="str">
            <v>1 - Fondo de Desarrollo Local de Usaquén</v>
          </cell>
        </row>
        <row r="124">
          <cell r="B124" t="str">
            <v>Activo</v>
          </cell>
        </row>
        <row r="125">
          <cell r="B125" t="str">
            <v>Pasivo</v>
          </cell>
        </row>
        <row r="126">
          <cell r="B126" t="str">
            <v>Patrimonio</v>
          </cell>
        </row>
        <row r="127">
          <cell r="B127" t="str">
            <v>Pasivo + Patrimonio</v>
          </cell>
        </row>
      </sheetData>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row r="49">
          <cell r="B49">
            <v>6</v>
          </cell>
          <cell r="C49" t="str">
            <v>Entre &gt;2,3% y &lt;=3%</v>
          </cell>
          <cell r="E49">
            <v>45000000000</v>
          </cell>
          <cell r="F49" t="str">
            <v>3%</v>
          </cell>
        </row>
      </sheetData>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row r="1">
          <cell r="A1" t="str">
            <v>CONTRALORÍA DE__________________</v>
          </cell>
        </row>
        <row r="167">
          <cell r="A167" t="str">
            <v>Carmen Beatriz Moncada</v>
          </cell>
          <cell r="B167" t="str">
            <v>Supervisor</v>
          </cell>
        </row>
        <row r="168">
          <cell r="A168" t="str">
            <v>Lorena Alarcón Martínez</v>
          </cell>
          <cell r="B168" t="str">
            <v>Líder</v>
          </cell>
        </row>
        <row r="169">
          <cell r="A169" t="str">
            <v>Julian Alberto Rodas</v>
          </cell>
          <cell r="B169" t="str">
            <v>Auditor</v>
          </cell>
        </row>
        <row r="170">
          <cell r="A170" t="str">
            <v>d</v>
          </cell>
          <cell r="B170" t="str">
            <v>z</v>
          </cell>
        </row>
        <row r="171">
          <cell r="A171" t="str">
            <v>d</v>
          </cell>
          <cell r="B171" t="str">
            <v>z</v>
          </cell>
        </row>
        <row r="172">
          <cell r="A172" t="str">
            <v>d</v>
          </cell>
          <cell r="B172" t="str">
            <v>z</v>
          </cell>
        </row>
        <row r="173">
          <cell r="A173" t="str">
            <v>d</v>
          </cell>
          <cell r="B173" t="str">
            <v>z</v>
          </cell>
        </row>
        <row r="174">
          <cell r="A174" t="str">
            <v>d</v>
          </cell>
          <cell r="B174" t="str">
            <v>z</v>
          </cell>
        </row>
        <row r="175">
          <cell r="A175" t="str">
            <v>d</v>
          </cell>
          <cell r="B175" t="str">
            <v>z</v>
          </cell>
        </row>
        <row r="176">
          <cell r="A176" t="str">
            <v>d</v>
          </cell>
          <cell r="B176" t="str">
            <v>z</v>
          </cell>
        </row>
        <row r="177">
          <cell r="A177" t="str">
            <v>d</v>
          </cell>
          <cell r="B177" t="str">
            <v>z</v>
          </cell>
        </row>
        <row r="178">
          <cell r="A178" t="str">
            <v>d</v>
          </cell>
          <cell r="B178" t="str">
            <v>z</v>
          </cell>
        </row>
        <row r="179">
          <cell r="A179" t="str">
            <v>d</v>
          </cell>
          <cell r="B179" t="str">
            <v>z</v>
          </cell>
        </row>
        <row r="180">
          <cell r="A180" t="str">
            <v>d</v>
          </cell>
          <cell r="B180" t="str">
            <v>z</v>
          </cell>
        </row>
        <row r="181">
          <cell r="A181" t="str">
            <v>d</v>
          </cell>
          <cell r="B181" t="str">
            <v>z</v>
          </cell>
        </row>
        <row r="182">
          <cell r="A182" t="str">
            <v>d</v>
          </cell>
          <cell r="B182" t="str">
            <v>z</v>
          </cell>
        </row>
        <row r="183">
          <cell r="A183" t="str">
            <v>d</v>
          </cell>
          <cell r="B183" t="str">
            <v>z</v>
          </cell>
        </row>
        <row r="184">
          <cell r="A184" t="str">
            <v>d</v>
          </cell>
          <cell r="B184" t="str">
            <v>z</v>
          </cell>
        </row>
        <row r="185">
          <cell r="A185" t="str">
            <v>d</v>
          </cell>
          <cell r="B185" t="str">
            <v>z</v>
          </cell>
        </row>
        <row r="186">
          <cell r="A186" t="str">
            <v>d</v>
          </cell>
          <cell r="B186" t="str">
            <v>z</v>
          </cell>
        </row>
        <row r="187">
          <cell r="A187" t="str">
            <v>d</v>
          </cell>
          <cell r="B187" t="str">
            <v>z</v>
          </cell>
        </row>
        <row r="188">
          <cell r="A188" t="str">
            <v>d</v>
          </cell>
          <cell r="B188" t="str">
            <v>z</v>
          </cell>
        </row>
        <row r="189">
          <cell r="A189" t="str">
            <v>d</v>
          </cell>
          <cell r="B189" t="str">
            <v>z</v>
          </cell>
        </row>
        <row r="190">
          <cell r="A190" t="str">
            <v>d</v>
          </cell>
          <cell r="B190" t="str">
            <v>z</v>
          </cell>
        </row>
        <row r="191">
          <cell r="A191" t="str">
            <v>d</v>
          </cell>
          <cell r="B191" t="str">
            <v>z</v>
          </cell>
        </row>
        <row r="192">
          <cell r="A192" t="str">
            <v>d</v>
          </cell>
          <cell r="B192" t="str">
            <v>z</v>
          </cell>
        </row>
        <row r="193">
          <cell r="A193" t="str">
            <v>d</v>
          </cell>
          <cell r="B193" t="str">
            <v>z</v>
          </cell>
        </row>
        <row r="194">
          <cell r="A194" t="str">
            <v>d</v>
          </cell>
          <cell r="B194" t="str">
            <v>z</v>
          </cell>
        </row>
        <row r="195">
          <cell r="A195" t="str">
            <v>d</v>
          </cell>
          <cell r="B195" t="str">
            <v>z</v>
          </cell>
        </row>
        <row r="196">
          <cell r="A196" t="str">
            <v>d</v>
          </cell>
          <cell r="B196" t="str">
            <v>z</v>
          </cell>
        </row>
        <row r="197">
          <cell r="A197" t="str">
            <v>d</v>
          </cell>
          <cell r="B197" t="str">
            <v>z</v>
          </cell>
        </row>
        <row r="198">
          <cell r="A198" t="str">
            <v>d</v>
          </cell>
          <cell r="B198" t="str">
            <v>z</v>
          </cell>
        </row>
        <row r="199">
          <cell r="A199" t="str">
            <v>d</v>
          </cell>
          <cell r="B199" t="str">
            <v>z</v>
          </cell>
        </row>
        <row r="200">
          <cell r="A200" t="str">
            <v>d</v>
          </cell>
          <cell r="B200" t="str">
            <v>z</v>
          </cell>
        </row>
        <row r="201">
          <cell r="A201" t="str">
            <v>d</v>
          </cell>
          <cell r="B201" t="str">
            <v>z</v>
          </cell>
        </row>
        <row r="202">
          <cell r="A202" t="str">
            <v>d</v>
          </cell>
          <cell r="B202" t="str">
            <v>z</v>
          </cell>
        </row>
        <row r="203">
          <cell r="A203" t="str">
            <v>d</v>
          </cell>
          <cell r="B203" t="str">
            <v>z</v>
          </cell>
        </row>
        <row r="204">
          <cell r="A204" t="str">
            <v>d</v>
          </cell>
          <cell r="B204" t="str">
            <v>z</v>
          </cell>
        </row>
        <row r="205">
          <cell r="A205" t="str">
            <v>d</v>
          </cell>
          <cell r="B205" t="str">
            <v>z</v>
          </cell>
        </row>
        <row r="206">
          <cell r="A206" t="str">
            <v>d</v>
          </cell>
          <cell r="B206" t="str">
            <v>z</v>
          </cell>
        </row>
      </sheetData>
      <sheetData sheetId="30" refreshError="1"/>
      <sheetData sheetId="31" refreshError="1"/>
      <sheetData sheetId="32" refreshError="1"/>
      <sheetData sheetId="33" refreshError="1"/>
      <sheetData sheetId="34" refreshError="1"/>
      <sheetData sheetId="3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ALITICA PRESUPUESTO"/>
      <sheetName val="MATERIALIDAD PRESUPUESTO"/>
      <sheetName val="INDICADORES Y HALLAZGOS "/>
      <sheetName val="Instructivo"/>
      <sheetName val="LISTAS"/>
    </sheetNames>
    <sheetDataSet>
      <sheetData sheetId="0"/>
      <sheetData sheetId="1"/>
      <sheetData sheetId="2"/>
      <sheetData sheetId="3"/>
      <sheetData sheetId="4"/>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ANÁLISIS"/>
      <sheetName val="FENECIMIENTO_PUBLICAS"/>
      <sheetName val="Riesgos general"/>
      <sheetName val="LISTA"/>
      <sheetName val="Riesgo muestra"/>
      <sheetName val="LISTAS"/>
      <sheetName val="2. RIESGOS DE AUDITORÍA"/>
      <sheetName val="Hoja1"/>
      <sheetName val="1. ANALÍTICA ESTADO SITUACIÓN F"/>
      <sheetName val="2. ANALÍTICA ESTADO DE RESULTAD"/>
      <sheetName val="3.MATERIALIDAD FINANCIERA"/>
      <sheetName val="4. MATERIALIDAD PRESUPUESTAL"/>
      <sheetName val="ANALÍTICAS GASTO PÚBLICO"/>
      <sheetName val="MATERIALIDAD GASTO PÚBLICO"/>
      <sheetName val="CALIFICACION GASTO PUBLICO"/>
      <sheetName val="6. PLANES Y PROYECTOS"/>
      <sheetName val="PT 09-AF MATERIALIDAD EF MCGR"/>
      <sheetName val="LISTA MATERIALIDAD CGR"/>
      <sheetName val="PT 10-AF A.HALLAZGOS OPINIÓN EF"/>
      <sheetName val="3. MATERIALIDAD FINANCIERA"/>
      <sheetName val="7. HALLAZGOS OPINIÓN_FIN"/>
      <sheetName val="8. DESEMPEÑO FINANCIERO"/>
      <sheetName val="Listas PPTO"/>
      <sheetName val="9. HALLAZGOS CONCEPTO_PRES"/>
      <sheetName val="GESTIÓN CONTRACTUAL_MIXTAS"/>
      <sheetName val="GESTIÓN CONTRACTUAL_PÚBLICAS"/>
      <sheetName val="10. GESTION FINANCIERA PUBLICAS"/>
      <sheetName val="Control"/>
      <sheetName val="Riesgos CB"/>
      <sheetName val="1. RIESGOS Y CONTROLES"/>
      <sheetName val="10. FENECIMIENTO"/>
      <sheetName val="FENECIMIENTO CUENTA"/>
      <sheetName val="11.Referencia - Marcas "/>
      <sheetName val="PLAN ESTRATÉGICO - MIXTAS"/>
      <sheetName val="GESTION FINANCIERA MIXTAS"/>
      <sheetName val="PVCGF- 04-13 Instrumento para 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ALITICA PRESUPUESTO"/>
      <sheetName val="MATERIALIDAD PRESUPUESTO"/>
      <sheetName val="INDICADORES Y HALLAZGOS "/>
      <sheetName val="Instructivo"/>
      <sheetName val="LISTAS"/>
      <sheetName val="PVCGF-04-06 Procesos presupuest"/>
    </sheetNames>
    <sheetDataSet>
      <sheetData sheetId="0" refreshError="1"/>
      <sheetData sheetId="1" refreshError="1"/>
      <sheetData sheetId="2" refreshError="1"/>
      <sheetData sheetId="3" refreshError="1"/>
      <sheetData sheetId="4" refreshError="1"/>
      <sheetData sheetId="5" refreshError="1"/>
    </sheetDataSet>
  </externalBook>
</externalLink>
</file>

<file path=xl/persons/person.xml><?xml version="1.0" encoding="utf-8"?>
<personList xmlns="http://schemas.microsoft.com/office/spreadsheetml/2018/threadedcomments" xmlns:x="http://schemas.openxmlformats.org/spreadsheetml/2006/main">
  <person displayName="olga yolanda pinzon zapata" id="{942FD41F-4206-4D99-99BE-041C37F4D8F8}" userId="a92ea1d936ca3898" providerId="Windows Live"/>
</personList>
</file>

<file path=xl/tables/table1.xml><?xml version="1.0" encoding="utf-8"?>
<table xmlns="http://schemas.openxmlformats.org/spreadsheetml/2006/main" id="14" name="TablaSujetos215" displayName="TablaSujetos215" ref="R2:V96" totalsRowShown="0" headerRowDxfId="379" dataDxfId="378">
  <autoFilter ref="R2:V96"/>
  <sortState ref="R3:U95">
    <sortCondition ref="R3:R95"/>
  </sortState>
  <tableColumns count="5">
    <tableColumn id="1" name="Sujeto de Control" dataDxfId="377"/>
    <tableColumn id="2" name="TIPO DE MATRIZ_x000a_(Identificación de la matriz a aplicar)" dataDxfId="376"/>
    <tableColumn id="3" name="TIPO_ENTIDAD" dataDxfId="375"/>
    <tableColumn id="4" name="Columna1" dataDxfId="374"/>
    <tableColumn id="5" name="Columna2" dataDxfId="373"/>
  </tableColumns>
  <tableStyleInfo name="TableStyleMedium2" showFirstColumn="0" showLastColumn="0" showRowStripes="1" showColumnStripes="0"/>
</table>
</file>

<file path=xl/tables/table2.xml><?xml version="1.0" encoding="utf-8"?>
<table xmlns="http://schemas.openxmlformats.org/spreadsheetml/2006/main" id="15" name="TablaProcesos516" displayName="TablaProcesos516" ref="W7:AE15" totalsRowShown="0">
  <tableColumns count="9">
    <tableColumn id="1" name="PROCESO" dataDxfId="372"/>
    <tableColumn id="7" name="PUBLICA con ing" dataDxfId="371" dataCellStyle="Porcentaje"/>
    <tableColumn id="8" name="PUBLICA sin ing" dataDxfId="370" dataCellStyle="Porcentaje"/>
    <tableColumn id="2" name="PUBLICA" dataDxfId="369" dataCellStyle="Porcentaje"/>
    <tableColumn id="6" name="MIXTA&gt;50 sin Ing" dataDxfId="368" dataCellStyle="Porcentaje"/>
    <tableColumn id="3" name="MIXTA&gt;50" dataDxfId="367" dataCellStyle="Porcentaje"/>
    <tableColumn id="4" name="MIXTA&lt;50" dataDxfId="366" dataCellStyle="Porcentaje"/>
    <tableColumn id="5" name="CORPORACION" dataDxfId="365"/>
    <tableColumn id="9" name="CONCEJO" dataDxfId="364"/>
  </tableColumns>
  <tableStyleInfo name="TableStyleMedium2" showFirstColumn="0" showLastColumn="0" showRowStripes="1" showColumnStripes="0"/>
</table>
</file>

<file path=xl/tables/table3.xml><?xml version="1.0" encoding="utf-8"?>
<table xmlns="http://schemas.openxmlformats.org/spreadsheetml/2006/main" id="16" name="TablaMacroprocesos43817" displayName="TablaMacroprocesos43817" ref="W2:AA5" totalsRowShown="0" tableBorderDxfId="363">
  <tableColumns count="5">
    <tableColumn id="1" name="MACROPROCESO" dataDxfId="362"/>
    <tableColumn id="2" name="PUBLICA" dataDxfId="361" dataCellStyle="Porcentaje"/>
    <tableColumn id="3" name="MIXTA&gt;50" dataDxfId="360" dataCellStyle="Porcentaje"/>
    <tableColumn id="4" name="MIXTA&lt;50" dataDxfId="359" dataCellStyle="Porcentaje"/>
    <tableColumn id="5" name="CORPORACION" dataDxfId="358"/>
  </tableColumns>
  <tableStyleInfo name="TableStyleMedium2" showFirstColumn="0" showLastColumn="0" showRowStripes="1" showColumnStripes="0"/>
</table>
</file>

<file path=xl/tables/table4.xml><?xml version="1.0" encoding="utf-8"?>
<table xmlns="http://schemas.openxmlformats.org/spreadsheetml/2006/main" id="17" name="ConceptoPresupuesto235" displayName="ConceptoPresupuesto235" ref="AV2:AW9" totalsRowShown="0" headerRowDxfId="120" dataDxfId="119">
  <autoFilter ref="AV2:AW9"/>
  <tableColumns count="2">
    <tableColumn id="1" name="CONCEPTO" dataDxfId="118"/>
    <tableColumn id="2" name="CALIFICACION" dataDxfId="117"/>
  </tableColumns>
  <tableStyleInfo name="TableStyleMedium9" showFirstColumn="0" showLastColumn="0" showRowStripes="1" showColumnStripes="0"/>
</table>
</file>

<file path=xl/tables/table5.xml><?xml version="1.0" encoding="utf-8"?>
<table xmlns="http://schemas.openxmlformats.org/spreadsheetml/2006/main" id="1" name="Hallazgos_anterior" displayName="Hallazgos_anterior" ref="I57:J62" totalsRowShown="0" headerRowDxfId="79" dataDxfId="78">
  <autoFilter ref="I57:J62"/>
  <tableColumns count="2">
    <tableColumn id="1" name="Hallazgos vigencias anteriores?" dataDxfId="77"/>
    <tableColumn id="2" name="VALOR" dataDxfId="76"/>
  </tableColumns>
  <tableStyleInfo name="TableStyleMedium2" showFirstColumn="0" showLastColumn="0" showRowStripes="1" showColumnStripes="0"/>
</table>
</file>

<file path=xl/tables/table6.xml><?xml version="1.0" encoding="utf-8"?>
<table xmlns="http://schemas.openxmlformats.org/spreadsheetml/2006/main" id="6" name="Concepto_anterior" displayName="Concepto_anterior" ref="L57:M62" totalsRowShown="0" headerRowDxfId="75" dataDxfId="74">
  <autoFilter ref="L57:M62"/>
  <tableColumns count="2">
    <tableColumn id="1" name="Conceptos Gasto vigencia anterior" dataDxfId="73"/>
    <tableColumn id="2" name="VALOR" dataDxfId="72"/>
  </tableColumns>
  <tableStyleInfo name="TableStyleMedium2" showFirstColumn="0" showLastColumn="0" showRowStripes="1" showColumnStripes="0"/>
</table>
</file>

<file path=xl/tables/table7.xml><?xml version="1.0" encoding="utf-8"?>
<table xmlns="http://schemas.openxmlformats.org/spreadsheetml/2006/main" id="7" name="Riesgo_residual" displayName="Riesgo_residual" ref="I65:J69" totalsRowShown="0" headerRowDxfId="71" dataDxfId="70">
  <autoFilter ref="I65:J69"/>
  <tableColumns count="2">
    <tableColumn id="1" name="Riesgo Residual período auditado" dataDxfId="69"/>
    <tableColumn id="2" name="VALOR" dataDxfId="68"/>
  </tableColumns>
  <tableStyleInfo name="TableStyleMedium2" showFirstColumn="0" showLastColumn="0" showRowStripes="1" showColumnStripes="0"/>
</table>
</file>

<file path=xl/tables/table8.xml><?xml version="1.0" encoding="utf-8"?>
<table xmlns="http://schemas.openxmlformats.org/spreadsheetml/2006/main" id="8" name="Diseño_Control" displayName="Diseño_Control" ref="L65:M70" totalsRowShown="0" headerRowDxfId="67" dataDxfId="66">
  <autoFilter ref="L65:M70"/>
  <tableColumns count="2">
    <tableColumn id="1" name="Calificación CFI - Gasto Público" dataDxfId="65"/>
    <tableColumn id="2" name="VALOR" dataDxfId="64"/>
  </tableColumns>
  <tableStyleInfo name="TableStyleMedium2" showFirstColumn="0" showLastColumn="0" showRowStripes="1" showColumnStripes="0"/>
</table>
</file>

<file path=xl/tables/table9.xml><?xml version="1.0" encoding="utf-8"?>
<table xmlns="http://schemas.openxmlformats.org/spreadsheetml/2006/main" id="9" name="TablaMuestra" displayName="TablaMuestra" ref="I71:O74" totalsRowShown="0" headerRowDxfId="63" dataDxfId="62">
  <autoFilter ref="I71:O74"/>
  <tableColumns count="7">
    <tableColumn id="1" name="Mínimo con Concepto Vig Anterior" dataDxfId="61"/>
    <tableColumn id="2" name="Mínimo SIN Concepto Vig Anterior" dataDxfId="60"/>
    <tableColumn id="3" name="Riesgo de Control" dataDxfId="59"/>
    <tableColumn id="5" name="MATERIALIDAD" dataDxfId="58"/>
    <tableColumn id="4" name="Muestra Mín" dataDxfId="57"/>
    <tableColumn id="6" name="Materialidad Relativa a la Muestra" dataDxfId="56"/>
    <tableColumn id="7" name="Parametro Minimo Concepto" dataDxfId="55">
      <calculatedColumnFormula>100%-TablaMuestra[[#This Row],[Materialidad Relativa a la Muestra]]</calculatedColumnFormula>
    </tableColumn>
  </tableColumns>
  <tableStyleInfo name="TableStyleMedium2" showFirstColumn="0" showLastColumn="0" showRowStripes="1" showColumnStripes="0"/>
</table>
</file>

<file path=xl/tables/table10.xml><?xml version="1.0" encoding="utf-8"?>
<table xmlns="http://schemas.openxmlformats.org/spreadsheetml/2006/main" id="20" name="TablaMaxCalifPos" displayName="TablaMaxCalifPos" ref="F101:I110" totalsRowShown="0" headerRowDxfId="40" dataDxfId="38" headerRowBorderDxfId="39" tableBorderDxfId="37" headerRowCellStyle="Normal 7">
  <autoFilter ref="F101:I110"/>
  <tableColumns count="4">
    <tableColumn id="1" name="RESULTADO DEL EJERCICIO AUDITOR" dataDxfId="36" dataCellStyle="Normal 7"/>
    <tableColumn id="2" name="BAJO" dataDxfId="35" dataCellStyle="Normal 7"/>
    <tableColumn id="3" name="MEDIO" dataDxfId="34" dataCellStyle="Normal 7"/>
    <tableColumn id="4" name="ALTO" dataDxfId="33" dataCellStyle="Normal 7"/>
  </tableColumns>
  <tableStyleInfo name="TableStyleMedium2" showFirstColumn="0" showLastColumn="0" showRowStripes="1" showColumnStripes="0"/>
</table>
</file>

<file path=xl/tables/table11.xml><?xml version="1.0" encoding="utf-8"?>
<table xmlns="http://schemas.openxmlformats.org/spreadsheetml/2006/main" id="21" name="TablaMoneda" displayName="TablaMoneda" ref="B92:B94" totalsRowShown="0" headerRowDxfId="32" dataDxfId="31" headerRowCellStyle="Normal 5" dataCellStyle="Normal 5">
  <autoFilter ref="B92:B94"/>
  <tableColumns count="1">
    <tableColumn id="1" name="TIPO DE MONEDA" dataDxfId="30" dataCellStyle="Normal 5"/>
  </tableColumns>
  <tableStyleInfo name="TableStyleMedium2" showFirstColumn="0" showLastColumn="0" showRowStripes="1" showColumnStripes="0"/>
</table>
</file>

<file path=xl/tables/table12.xml><?xml version="1.0" encoding="utf-8"?>
<table xmlns="http://schemas.openxmlformats.org/spreadsheetml/2006/main" id="22" name="TablaConcepto" displayName="TablaConcepto" ref="F95:I98" totalsRowShown="0" headerRowDxfId="29" dataDxfId="28" headerRowCellStyle="Millares 4">
  <autoFilter ref="F95:I98"/>
  <tableColumns count="4">
    <tableColumn id="1" name="BAJO" dataDxfId="27"/>
    <tableColumn id="2" name="MEDIO" dataDxfId="26"/>
    <tableColumn id="3" name="ALTO" dataDxfId="25"/>
    <tableColumn id="4" name="Concepto" dataDxfId="24" dataCellStyle="Millares 4"/>
  </tableColumns>
  <tableStyleInfo name="TableStyleMedium2" showFirstColumn="0" showLastColumn="0" showRowStripes="1" showColumnStripes="0"/>
</table>
</file>

<file path=xl/tables/table13.xml><?xml version="1.0" encoding="utf-8"?>
<table xmlns="http://schemas.openxmlformats.org/spreadsheetml/2006/main" id="23" name="Dependencias" displayName="Dependencias" ref="C65379:E65414" totalsRowShown="0" headerRowDxfId="23" dataDxfId="21" headerRowBorderDxfId="22" tableBorderDxfId="20" totalsRowBorderDxfId="19">
  <autoFilter ref="C65379:E65414"/>
  <sortState ref="C65380:E65414">
    <sortCondition ref="E65381:E65416"/>
  </sortState>
  <tableColumns count="3">
    <tableColumn id="1" name="CÓDIGO" dataDxfId="18"/>
    <tableColumn id="2" name="DEPENDENCIA" dataDxfId="17"/>
    <tableColumn id="3" name="CONCATENADO" dataDxfId="16" dataCellStyle="Millares 4">
      <calculatedColumnFormula>CONCATENATE(Dependencias[[#This Row],[CÓDIGO]]," - ",Dependencias[[#This Row],[DEPENDENCIA]])</calculatedColumnFormula>
    </tableColumn>
  </tableColumns>
  <tableStyleInfo name="TableStyleMedium2" showFirstColumn="0" showLastColumn="0" showRowStripes="1" showColumnStripes="0"/>
</table>
</file>

<file path=xl/tables/table14.xml><?xml version="1.0" encoding="utf-8"?>
<table xmlns="http://schemas.openxmlformats.org/spreadsheetml/2006/main" id="24" name="Tabla11" displayName="Tabla11" ref="A65378:A65476" totalsRowShown="0" headerRowDxfId="15" dataDxfId="13" headerRowBorderDxfId="14" tableBorderDxfId="12" headerRowCellStyle="Normal_Hoja1" dataCellStyle="Normal_Hoja1">
  <autoFilter ref="A65378:A65476"/>
  <sortState ref="A65379:A65476">
    <sortCondition ref="A65381:A65479"/>
  </sortState>
  <tableColumns count="1">
    <tableColumn id="1" name="Sujetos de Control Fiscal" dataDxfId="11" dataCellStyle="Normal_Hoja1"/>
  </tableColumns>
  <tableStyleInfo name="TableStyleMedium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F28" dT="2024-11-15T13:23:35.48" personId="{942FD41F-4206-4D99-99BE-041C37F4D8F8}" id="{B83077C8-393B-4D90-9BB8-29A66010062B}">
    <text xml:space="preserve">Si no es posible cumplir con el tamaño mínimo de la muestra, dejar justificación en el Plan de Trabajo. </text>
  </threadedComment>
</ThreadedComments>
</file>

<file path=xl/worksheets/_rels/sheet1.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table" Target="../tables/table2.xml"/><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6.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8.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2.bin"/></Relationships>
</file>

<file path=xl/worksheets/_rels/sheet12.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drawing" Target="../drawings/drawing10.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11.xml"/><Relationship Id="rId1" Type="http://schemas.openxmlformats.org/officeDocument/2006/relationships/printerSettings" Target="../printerSettings/printerSettings3.bin"/><Relationship Id="rId4" Type="http://schemas.openxmlformats.org/officeDocument/2006/relationships/comments" Target="../comments4.xml"/></Relationships>
</file>

<file path=xl/worksheets/_rels/sheet14.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drawing" Target="../drawings/drawing12.xml"/></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4.bin"/></Relationships>
</file>

<file path=xl/worksheets/_rels/sheet16.xml.rels><?xml version="1.0" encoding="UTF-8" standalone="yes"?>
<Relationships xmlns="http://schemas.openxmlformats.org/package/2006/relationships"><Relationship Id="rId8" Type="http://schemas.openxmlformats.org/officeDocument/2006/relationships/table" Target="../tables/table5.xml"/><Relationship Id="rId13" Type="http://schemas.openxmlformats.org/officeDocument/2006/relationships/comments" Target="../comments6.xml"/><Relationship Id="rId3" Type="http://schemas.openxmlformats.org/officeDocument/2006/relationships/vmlDrawing" Target="../drawings/vmlDrawing6.vml"/><Relationship Id="rId7" Type="http://schemas.openxmlformats.org/officeDocument/2006/relationships/ctrlProp" Target="../ctrlProps/ctrlProp4.xml"/><Relationship Id="rId12" Type="http://schemas.openxmlformats.org/officeDocument/2006/relationships/table" Target="../tables/table9.xml"/><Relationship Id="rId2" Type="http://schemas.openxmlformats.org/officeDocument/2006/relationships/drawing" Target="../drawings/drawing14.xml"/><Relationship Id="rId1" Type="http://schemas.openxmlformats.org/officeDocument/2006/relationships/printerSettings" Target="../printerSettings/printerSettings5.bin"/><Relationship Id="rId6" Type="http://schemas.openxmlformats.org/officeDocument/2006/relationships/ctrlProp" Target="../ctrlProps/ctrlProp3.xml"/><Relationship Id="rId11" Type="http://schemas.openxmlformats.org/officeDocument/2006/relationships/table" Target="../tables/table8.xml"/><Relationship Id="rId5" Type="http://schemas.openxmlformats.org/officeDocument/2006/relationships/ctrlProp" Target="../ctrlProps/ctrlProp2.xml"/><Relationship Id="rId10" Type="http://schemas.openxmlformats.org/officeDocument/2006/relationships/table" Target="../tables/table7.xml"/><Relationship Id="rId4" Type="http://schemas.openxmlformats.org/officeDocument/2006/relationships/ctrlProp" Target="../ctrlProps/ctrlProp1.xml"/><Relationship Id="rId9" Type="http://schemas.openxmlformats.org/officeDocument/2006/relationships/table" Target="../tables/table6.xml"/><Relationship Id="rId14" Type="http://schemas.microsoft.com/office/2017/10/relationships/threadedComment" Target="../threadedComments/threadedComment1.xml"/></Relationships>
</file>

<file path=xl/worksheets/_rels/sheet17.xml.rels><?xml version="1.0" encoding="UTF-8" standalone="yes"?>
<Relationships xmlns="http://schemas.openxmlformats.org/package/2006/relationships"><Relationship Id="rId8" Type="http://schemas.openxmlformats.org/officeDocument/2006/relationships/comments" Target="../comments7.xml"/><Relationship Id="rId3" Type="http://schemas.openxmlformats.org/officeDocument/2006/relationships/table" Target="../tables/table10.xml"/><Relationship Id="rId7" Type="http://schemas.openxmlformats.org/officeDocument/2006/relationships/table" Target="../tables/table14.xml"/><Relationship Id="rId2" Type="http://schemas.openxmlformats.org/officeDocument/2006/relationships/vmlDrawing" Target="../drawings/vmlDrawing7.vml"/><Relationship Id="rId1" Type="http://schemas.openxmlformats.org/officeDocument/2006/relationships/drawing" Target="../drawings/drawing15.xml"/><Relationship Id="rId6" Type="http://schemas.openxmlformats.org/officeDocument/2006/relationships/table" Target="../tables/table13.xml"/><Relationship Id="rId5" Type="http://schemas.openxmlformats.org/officeDocument/2006/relationships/table" Target="../tables/table12.xml"/><Relationship Id="rId4" Type="http://schemas.openxmlformats.org/officeDocument/2006/relationships/table" Target="../tables/table1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70"/>
  <sheetViews>
    <sheetView topLeftCell="O1" workbookViewId="0">
      <selection activeCell="S2" sqref="S2"/>
    </sheetView>
  </sheetViews>
  <sheetFormatPr baseColWidth="10" defaultColWidth="11.42578125" defaultRowHeight="15" x14ac:dyDescent="0.25"/>
  <cols>
    <col min="2" max="2" width="11.42578125" customWidth="1"/>
    <col min="3" max="3" width="43.7109375" customWidth="1"/>
    <col min="4" max="4" width="66.140625" customWidth="1"/>
    <col min="6" max="6" width="81.7109375" customWidth="1"/>
    <col min="7" max="7" width="27.28515625" customWidth="1"/>
    <col min="8" max="8" width="51.28515625" customWidth="1"/>
    <col min="9" max="9" width="17.140625" customWidth="1"/>
    <col min="12" max="12" width="22.7109375" customWidth="1"/>
    <col min="13" max="13" width="16.7109375" customWidth="1"/>
    <col min="14" max="14" width="14.28515625" customWidth="1"/>
    <col min="15" max="15" width="11.42578125" customWidth="1"/>
    <col min="16" max="17" width="31.7109375" customWidth="1"/>
    <col min="18" max="18" width="63.7109375" customWidth="1"/>
    <col min="19" max="19" width="15.7109375" customWidth="1"/>
    <col min="20" max="20" width="20.42578125" customWidth="1"/>
    <col min="21" max="21" width="17.42578125" customWidth="1"/>
    <col min="22" max="22" width="7.7109375" customWidth="1"/>
    <col min="23" max="23" width="23.42578125" customWidth="1"/>
    <col min="24" max="24" width="16.140625" customWidth="1"/>
    <col min="25" max="25" width="15.7109375" customWidth="1"/>
    <col min="26" max="26" width="16.140625" customWidth="1"/>
    <col min="27" max="27" width="15.7109375" customWidth="1"/>
    <col min="28" max="28" width="11.28515625" customWidth="1"/>
    <col min="29" max="29" width="11.42578125" customWidth="1"/>
    <col min="30" max="30" width="14.7109375" customWidth="1"/>
    <col min="31" max="31" width="15.140625" customWidth="1"/>
    <col min="34" max="34" width="25.140625" customWidth="1"/>
  </cols>
  <sheetData>
    <row r="1" spans="1:34" ht="16.5" customHeight="1" x14ac:dyDescent="0.25">
      <c r="A1" s="30"/>
      <c r="B1" s="30"/>
      <c r="C1" s="30"/>
      <c r="D1" s="30"/>
      <c r="E1" s="30"/>
      <c r="F1" s="30"/>
      <c r="G1" s="30"/>
      <c r="H1" s="30"/>
      <c r="I1" s="30"/>
      <c r="J1" s="30"/>
      <c r="K1" s="30"/>
      <c r="L1" s="30"/>
      <c r="M1" s="30"/>
      <c r="N1" s="30"/>
      <c r="O1" s="30"/>
      <c r="P1" s="30"/>
      <c r="Q1" s="30"/>
      <c r="R1" s="30"/>
    </row>
    <row r="2" spans="1:34" ht="16.5" customHeight="1" x14ac:dyDescent="0.25">
      <c r="A2" s="30"/>
      <c r="B2" s="30" t="s">
        <v>302</v>
      </c>
      <c r="C2" s="30" t="s">
        <v>303</v>
      </c>
      <c r="D2" s="30" t="s">
        <v>304</v>
      </c>
      <c r="E2" s="30"/>
      <c r="F2" s="30" t="s">
        <v>468</v>
      </c>
      <c r="G2" s="30" t="s">
        <v>469</v>
      </c>
      <c r="H2" s="30" t="s">
        <v>303</v>
      </c>
      <c r="I2" s="30" t="s">
        <v>470</v>
      </c>
      <c r="K2" s="254"/>
      <c r="L2" s="1291" t="s">
        <v>200</v>
      </c>
      <c r="M2" s="1291" t="s">
        <v>471</v>
      </c>
      <c r="N2" s="1291"/>
      <c r="O2" s="30"/>
      <c r="P2" s="255" t="s">
        <v>472</v>
      </c>
      <c r="Q2" s="256"/>
      <c r="R2" s="257" t="s">
        <v>473</v>
      </c>
      <c r="S2" s="257" t="s">
        <v>474</v>
      </c>
      <c r="T2" s="257" t="s">
        <v>475</v>
      </c>
      <c r="U2" s="257" t="s">
        <v>476</v>
      </c>
      <c r="V2" s="257" t="s">
        <v>477</v>
      </c>
      <c r="W2" s="258" t="s">
        <v>478</v>
      </c>
      <c r="X2" s="259" t="s">
        <v>479</v>
      </c>
      <c r="Y2" s="259" t="s">
        <v>480</v>
      </c>
      <c r="Z2" s="259" t="s">
        <v>481</v>
      </c>
      <c r="AA2" s="260" t="s">
        <v>482</v>
      </c>
    </row>
    <row r="3" spans="1:34" ht="16.5" customHeight="1" x14ac:dyDescent="0.25">
      <c r="A3" s="30"/>
      <c r="B3" s="30">
        <v>100000</v>
      </c>
      <c r="C3" s="30" t="s">
        <v>306</v>
      </c>
      <c r="D3" s="30" t="s">
        <v>483</v>
      </c>
      <c r="E3" s="30"/>
      <c r="F3" s="30" t="s">
        <v>484</v>
      </c>
      <c r="G3" s="30" t="s">
        <v>485</v>
      </c>
      <c r="H3" s="30" t="s">
        <v>486</v>
      </c>
      <c r="I3" s="30" t="s">
        <v>487</v>
      </c>
      <c r="K3" s="254"/>
      <c r="L3" s="1291"/>
      <c r="M3" s="261" t="s">
        <v>488</v>
      </c>
      <c r="N3" s="261" t="s">
        <v>489</v>
      </c>
      <c r="P3" s="262" t="s">
        <v>470</v>
      </c>
      <c r="Q3" s="263" t="s">
        <v>490</v>
      </c>
      <c r="R3" s="30" t="s">
        <v>484</v>
      </c>
      <c r="S3" s="30" t="s">
        <v>491</v>
      </c>
      <c r="T3" s="264" t="s">
        <v>492</v>
      </c>
      <c r="U3" s="30" t="s">
        <v>493</v>
      </c>
      <c r="V3" s="30" t="s">
        <v>494</v>
      </c>
      <c r="W3" s="258" t="s">
        <v>495</v>
      </c>
      <c r="X3" s="265">
        <v>0.35</v>
      </c>
      <c r="Y3" s="265">
        <v>0.45</v>
      </c>
      <c r="Z3" s="266">
        <v>0.6</v>
      </c>
      <c r="AA3" s="266">
        <v>0.6</v>
      </c>
    </row>
    <row r="4" spans="1:34" ht="16.5" customHeight="1" x14ac:dyDescent="0.25">
      <c r="A4" s="30"/>
      <c r="B4" s="30">
        <v>110000</v>
      </c>
      <c r="C4" s="30" t="s">
        <v>308</v>
      </c>
      <c r="D4" s="30" t="s">
        <v>496</v>
      </c>
      <c r="E4" s="30"/>
      <c r="F4" s="30" t="s">
        <v>497</v>
      </c>
      <c r="G4" s="30" t="s">
        <v>485</v>
      </c>
      <c r="H4" s="30" t="s">
        <v>498</v>
      </c>
      <c r="I4" s="30" t="s">
        <v>487</v>
      </c>
      <c r="K4" s="254"/>
      <c r="L4" s="267" t="s">
        <v>499</v>
      </c>
      <c r="M4" s="268">
        <v>0.75</v>
      </c>
      <c r="N4" s="268">
        <v>1</v>
      </c>
      <c r="O4" s="30"/>
      <c r="P4" s="262" t="s">
        <v>500</v>
      </c>
      <c r="Q4" s="269"/>
      <c r="R4" s="30" t="s">
        <v>497</v>
      </c>
      <c r="S4" s="30" t="s">
        <v>491</v>
      </c>
      <c r="T4" s="264" t="s">
        <v>492</v>
      </c>
      <c r="U4" s="30" t="s">
        <v>493</v>
      </c>
      <c r="V4" s="30"/>
      <c r="W4" s="258" t="s">
        <v>501</v>
      </c>
      <c r="X4" s="265">
        <v>0.25</v>
      </c>
      <c r="Y4" s="265">
        <v>0.15</v>
      </c>
      <c r="Z4" s="265" t="s">
        <v>1549</v>
      </c>
      <c r="AA4" s="265" t="s">
        <v>1549</v>
      </c>
    </row>
    <row r="5" spans="1:34" ht="16.5" customHeight="1" x14ac:dyDescent="0.25">
      <c r="A5" s="30"/>
      <c r="B5" s="30">
        <v>12000</v>
      </c>
      <c r="C5" s="30" t="s">
        <v>310</v>
      </c>
      <c r="D5" s="30" t="s">
        <v>502</v>
      </c>
      <c r="E5" s="30"/>
      <c r="F5" s="30" t="s">
        <v>503</v>
      </c>
      <c r="G5" s="30" t="s">
        <v>504</v>
      </c>
      <c r="H5" s="30" t="s">
        <v>496</v>
      </c>
      <c r="I5" s="270" t="s">
        <v>505</v>
      </c>
      <c r="J5" s="271"/>
      <c r="K5" s="254"/>
      <c r="L5" s="272" t="s">
        <v>289</v>
      </c>
      <c r="M5" s="268">
        <v>0.65</v>
      </c>
      <c r="N5" s="268">
        <v>0.75</v>
      </c>
      <c r="O5" s="30"/>
      <c r="P5" s="262" t="s">
        <v>506</v>
      </c>
      <c r="Q5" s="269"/>
      <c r="R5" s="30" t="s">
        <v>503</v>
      </c>
      <c r="S5" s="30" t="s">
        <v>507</v>
      </c>
      <c r="T5" s="273" t="s">
        <v>508</v>
      </c>
      <c r="U5" s="30" t="s">
        <v>509</v>
      </c>
      <c r="V5" s="30"/>
      <c r="W5" s="274" t="s">
        <v>510</v>
      </c>
      <c r="X5" s="275">
        <v>0.4</v>
      </c>
      <c r="Y5" s="275">
        <v>0.4</v>
      </c>
      <c r="Z5" s="275">
        <v>0.4</v>
      </c>
      <c r="AA5" s="275">
        <v>0.4</v>
      </c>
    </row>
    <row r="6" spans="1:34" ht="16.5" customHeight="1" x14ac:dyDescent="0.25">
      <c r="A6" s="30"/>
      <c r="B6" s="30">
        <v>120000</v>
      </c>
      <c r="C6" s="30" t="s">
        <v>312</v>
      </c>
      <c r="D6" s="30" t="s">
        <v>511</v>
      </c>
      <c r="E6" s="30"/>
      <c r="F6" s="30" t="s">
        <v>512</v>
      </c>
      <c r="G6" s="30" t="s">
        <v>513</v>
      </c>
      <c r="H6" s="30" t="s">
        <v>496</v>
      </c>
      <c r="I6" s="270" t="s">
        <v>505</v>
      </c>
      <c r="J6" s="271"/>
      <c r="K6" s="254"/>
      <c r="L6" s="267" t="s">
        <v>514</v>
      </c>
      <c r="M6" s="268">
        <v>0</v>
      </c>
      <c r="N6" s="268">
        <v>0.65</v>
      </c>
      <c r="O6" s="30"/>
      <c r="P6" s="262" t="s">
        <v>515</v>
      </c>
      <c r="Q6" s="263" t="s">
        <v>490</v>
      </c>
      <c r="R6" s="30" t="s">
        <v>512</v>
      </c>
      <c r="S6" s="30" t="s">
        <v>491</v>
      </c>
      <c r="T6" s="273" t="s">
        <v>516</v>
      </c>
      <c r="U6" s="30" t="s">
        <v>509</v>
      </c>
      <c r="V6" s="30" t="s">
        <v>1735</v>
      </c>
      <c r="W6" s="274"/>
      <c r="X6" s="276"/>
      <c r="Y6" s="276"/>
      <c r="Z6" s="277"/>
      <c r="AA6" s="277"/>
      <c r="AB6" s="277"/>
      <c r="AC6" s="277"/>
      <c r="AD6" s="277"/>
    </row>
    <row r="7" spans="1:34" ht="16.5" customHeight="1" x14ac:dyDescent="0.25">
      <c r="A7" s="30"/>
      <c r="B7" s="30">
        <v>12101</v>
      </c>
      <c r="C7" s="30" t="s">
        <v>314</v>
      </c>
      <c r="D7" s="30" t="s">
        <v>486</v>
      </c>
      <c r="E7" s="30"/>
      <c r="F7" s="30" t="s">
        <v>517</v>
      </c>
      <c r="G7" s="30" t="s">
        <v>513</v>
      </c>
      <c r="H7" s="30" t="s">
        <v>496</v>
      </c>
      <c r="I7" s="270" t="s">
        <v>505</v>
      </c>
      <c r="J7" s="271"/>
      <c r="K7" s="254"/>
      <c r="L7" s="267" t="s">
        <v>518</v>
      </c>
      <c r="M7" s="1292" t="s">
        <v>519</v>
      </c>
      <c r="N7" s="1292"/>
      <c r="O7" s="30"/>
      <c r="P7" s="278" t="s">
        <v>520</v>
      </c>
      <c r="Q7" s="30"/>
      <c r="R7" s="30" t="s">
        <v>517</v>
      </c>
      <c r="S7" s="30" t="s">
        <v>491</v>
      </c>
      <c r="T7" s="273" t="s">
        <v>516</v>
      </c>
      <c r="U7" s="30" t="s">
        <v>509</v>
      </c>
      <c r="V7" s="30"/>
      <c r="W7" s="279" t="s">
        <v>521</v>
      </c>
      <c r="X7" s="257" t="s">
        <v>492</v>
      </c>
      <c r="Y7" s="257" t="s">
        <v>516</v>
      </c>
      <c r="Z7" s="257" t="s">
        <v>479</v>
      </c>
      <c r="AA7" s="257" t="s">
        <v>522</v>
      </c>
      <c r="AB7" s="257" t="s">
        <v>480</v>
      </c>
      <c r="AC7" s="257" t="s">
        <v>481</v>
      </c>
      <c r="AD7" t="s">
        <v>482</v>
      </c>
      <c r="AE7" t="s">
        <v>508</v>
      </c>
      <c r="AG7" s="280" t="s">
        <v>523</v>
      </c>
      <c r="AH7" s="281" t="s">
        <v>524</v>
      </c>
    </row>
    <row r="8" spans="1:34" ht="16.5" customHeight="1" x14ac:dyDescent="0.25">
      <c r="A8" s="30"/>
      <c r="B8" s="30">
        <v>12102</v>
      </c>
      <c r="C8" s="30" t="s">
        <v>316</v>
      </c>
      <c r="D8" s="30" t="s">
        <v>525</v>
      </c>
      <c r="E8" s="30"/>
      <c r="F8" s="30" t="s">
        <v>526</v>
      </c>
      <c r="G8" s="30" t="s">
        <v>513</v>
      </c>
      <c r="H8" s="30" t="s">
        <v>496</v>
      </c>
      <c r="I8" s="30" t="s">
        <v>487</v>
      </c>
      <c r="J8" s="271"/>
      <c r="K8" s="254"/>
      <c r="L8" s="271"/>
      <c r="M8" s="271"/>
      <c r="N8" s="271"/>
      <c r="O8" s="30"/>
      <c r="P8" s="278" t="s">
        <v>527</v>
      </c>
      <c r="Q8" s="30"/>
      <c r="R8" s="30" t="s">
        <v>526</v>
      </c>
      <c r="S8" s="30" t="s">
        <v>491</v>
      </c>
      <c r="T8" s="273" t="s">
        <v>516</v>
      </c>
      <c r="U8" s="30" t="s">
        <v>509</v>
      </c>
      <c r="V8" s="30"/>
      <c r="W8" s="257" t="s">
        <v>528</v>
      </c>
      <c r="X8" s="266">
        <v>1</v>
      </c>
      <c r="Y8" s="266">
        <v>1</v>
      </c>
      <c r="Z8" s="266">
        <v>0.6</v>
      </c>
      <c r="AA8" s="266">
        <v>0.4</v>
      </c>
      <c r="AB8" s="266">
        <v>0.4</v>
      </c>
      <c r="AC8" s="266">
        <v>0.4</v>
      </c>
      <c r="AD8" s="266">
        <v>1</v>
      </c>
      <c r="AE8" s="266">
        <v>1</v>
      </c>
      <c r="AF8" s="266"/>
      <c r="AG8" t="s">
        <v>529</v>
      </c>
      <c r="AH8" t="s">
        <v>288</v>
      </c>
    </row>
    <row r="9" spans="1:34" ht="16.5" customHeight="1" x14ac:dyDescent="0.25">
      <c r="A9" s="30"/>
      <c r="B9" s="30">
        <v>12103</v>
      </c>
      <c r="C9" s="30" t="s">
        <v>318</v>
      </c>
      <c r="D9" s="30" t="s">
        <v>530</v>
      </c>
      <c r="E9" s="30"/>
      <c r="F9" s="30" t="s">
        <v>531</v>
      </c>
      <c r="G9" s="30" t="s">
        <v>485</v>
      </c>
      <c r="H9" s="30" t="s">
        <v>532</v>
      </c>
      <c r="I9" s="30" t="s">
        <v>487</v>
      </c>
      <c r="J9" s="271"/>
      <c r="K9" s="254"/>
      <c r="L9" s="271"/>
      <c r="M9" s="271"/>
      <c r="N9" s="271"/>
      <c r="O9" s="30"/>
      <c r="P9" s="30"/>
      <c r="Q9" s="30"/>
      <c r="R9" s="30" t="s">
        <v>531</v>
      </c>
      <c r="S9" s="30" t="s">
        <v>491</v>
      </c>
      <c r="T9" s="264" t="s">
        <v>492</v>
      </c>
      <c r="U9" s="30" t="s">
        <v>493</v>
      </c>
      <c r="V9" s="30"/>
      <c r="W9" s="257" t="s">
        <v>533</v>
      </c>
      <c r="X9" s="265" t="s">
        <v>1549</v>
      </c>
      <c r="Y9" s="265" t="s">
        <v>1549</v>
      </c>
      <c r="Z9" s="265">
        <v>0.4</v>
      </c>
      <c r="AA9" s="265">
        <v>0.6</v>
      </c>
      <c r="AB9" s="265">
        <v>0.6</v>
      </c>
      <c r="AC9" s="265">
        <v>0.6</v>
      </c>
      <c r="AD9" s="265" t="s">
        <v>1549</v>
      </c>
      <c r="AE9" s="265" t="s">
        <v>1549</v>
      </c>
      <c r="AF9" s="265"/>
      <c r="AG9" t="s">
        <v>534</v>
      </c>
      <c r="AH9" t="s">
        <v>290</v>
      </c>
    </row>
    <row r="10" spans="1:34" ht="16.5" customHeight="1" x14ac:dyDescent="0.25">
      <c r="A10" s="30"/>
      <c r="B10" s="30">
        <v>12104</v>
      </c>
      <c r="C10" s="30" t="s">
        <v>320</v>
      </c>
      <c r="D10" s="30" t="s">
        <v>535</v>
      </c>
      <c r="E10" s="30"/>
      <c r="F10" s="30" t="s">
        <v>536</v>
      </c>
      <c r="G10" s="30" t="s">
        <v>513</v>
      </c>
      <c r="H10" s="30" t="s">
        <v>496</v>
      </c>
      <c r="I10" s="270" t="s">
        <v>505</v>
      </c>
      <c r="J10" s="271"/>
      <c r="K10" s="254"/>
      <c r="L10" s="271"/>
      <c r="M10" s="271"/>
      <c r="N10" s="271"/>
      <c r="O10" s="30"/>
      <c r="P10" s="30"/>
      <c r="Q10" s="30"/>
      <c r="R10" s="30" t="s">
        <v>536</v>
      </c>
      <c r="S10" s="30" t="s">
        <v>491</v>
      </c>
      <c r="T10" s="273" t="s">
        <v>516</v>
      </c>
      <c r="U10" s="30" t="s">
        <v>509</v>
      </c>
      <c r="V10" s="30"/>
      <c r="W10" s="257" t="s">
        <v>537</v>
      </c>
      <c r="X10" s="265">
        <v>0.4</v>
      </c>
      <c r="Y10" s="265" t="s">
        <v>1549</v>
      </c>
      <c r="Z10" s="265">
        <v>0.4</v>
      </c>
      <c r="AA10" s="265" t="s">
        <v>1549</v>
      </c>
      <c r="AB10" s="265">
        <v>0.6</v>
      </c>
      <c r="AC10" s="265" t="s">
        <v>1549</v>
      </c>
      <c r="AD10" s="265" t="s">
        <v>1549</v>
      </c>
      <c r="AE10" s="265" t="s">
        <v>1549</v>
      </c>
      <c r="AF10" s="265"/>
      <c r="AG10" t="s">
        <v>538</v>
      </c>
      <c r="AH10" t="s">
        <v>287</v>
      </c>
    </row>
    <row r="11" spans="1:34" ht="16.5" customHeight="1" x14ac:dyDescent="0.25">
      <c r="A11" s="30"/>
      <c r="B11" s="30">
        <v>12105</v>
      </c>
      <c r="C11" s="30" t="s">
        <v>322</v>
      </c>
      <c r="D11" s="30" t="s">
        <v>539</v>
      </c>
      <c r="E11" s="30"/>
      <c r="F11" s="30" t="s">
        <v>540</v>
      </c>
      <c r="G11" s="30" t="s">
        <v>513</v>
      </c>
      <c r="H11" s="30" t="s">
        <v>541</v>
      </c>
      <c r="I11" s="30" t="s">
        <v>487</v>
      </c>
      <c r="J11" s="271"/>
      <c r="K11" s="254"/>
      <c r="L11" s="271"/>
      <c r="M11" s="271"/>
      <c r="N11" s="271"/>
      <c r="O11" s="30"/>
      <c r="P11" s="30"/>
      <c r="Q11" s="282" t="s">
        <v>406</v>
      </c>
      <c r="R11" s="30" t="s">
        <v>540</v>
      </c>
      <c r="S11" s="30" t="s">
        <v>542</v>
      </c>
      <c r="T11" s="273" t="s">
        <v>479</v>
      </c>
      <c r="U11" s="30" t="s">
        <v>493</v>
      </c>
      <c r="V11" s="30"/>
      <c r="W11" s="257" t="s">
        <v>543</v>
      </c>
      <c r="X11" s="265">
        <v>0.6</v>
      </c>
      <c r="Y11" s="265">
        <v>1</v>
      </c>
      <c r="Z11" s="265">
        <v>0.6</v>
      </c>
      <c r="AA11" s="265">
        <v>1</v>
      </c>
      <c r="AB11" s="265">
        <v>0.4</v>
      </c>
      <c r="AC11" s="265" t="s">
        <v>1549</v>
      </c>
      <c r="AD11" s="265">
        <v>1</v>
      </c>
      <c r="AE11" s="265">
        <v>1</v>
      </c>
      <c r="AF11" s="265"/>
      <c r="AG11" t="s">
        <v>544</v>
      </c>
    </row>
    <row r="12" spans="1:34" ht="16.5" customHeight="1" x14ac:dyDescent="0.25">
      <c r="A12" s="30"/>
      <c r="B12" s="30">
        <v>12106</v>
      </c>
      <c r="C12" s="30" t="s">
        <v>324</v>
      </c>
      <c r="D12" s="30" t="s">
        <v>545</v>
      </c>
      <c r="E12" s="30"/>
      <c r="F12" s="30" t="s">
        <v>546</v>
      </c>
      <c r="G12" s="30" t="s">
        <v>513</v>
      </c>
      <c r="H12" s="30" t="s">
        <v>547</v>
      </c>
      <c r="I12" s="270" t="s">
        <v>505</v>
      </c>
      <c r="J12" s="271"/>
      <c r="K12" s="254"/>
      <c r="L12" s="271"/>
      <c r="M12" s="271"/>
      <c r="N12" s="271"/>
      <c r="O12" s="30"/>
      <c r="P12" s="30"/>
      <c r="Q12" s="30"/>
      <c r="R12" s="30" t="s">
        <v>546</v>
      </c>
      <c r="S12" s="30" t="s">
        <v>491</v>
      </c>
      <c r="T12" s="273" t="s">
        <v>479</v>
      </c>
      <c r="U12" s="30" t="s">
        <v>493</v>
      </c>
      <c r="V12" s="30"/>
      <c r="W12" s="257" t="s">
        <v>1700</v>
      </c>
      <c r="X12" s="283">
        <v>0.4</v>
      </c>
      <c r="Y12" s="283">
        <v>0.4</v>
      </c>
      <c r="Z12" s="283">
        <v>0.4</v>
      </c>
      <c r="AA12" s="283">
        <v>0.3</v>
      </c>
      <c r="AB12" s="283">
        <v>0.3</v>
      </c>
      <c r="AC12" s="283">
        <v>0.3</v>
      </c>
      <c r="AD12" s="283">
        <v>0.3</v>
      </c>
      <c r="AE12" s="265" t="s">
        <v>1549</v>
      </c>
      <c r="AF12" s="283"/>
      <c r="AG12" t="s">
        <v>460</v>
      </c>
    </row>
    <row r="13" spans="1:34" ht="16.5" customHeight="1" x14ac:dyDescent="0.25">
      <c r="A13" s="30"/>
      <c r="B13" s="30">
        <v>12107</v>
      </c>
      <c r="C13" s="30" t="s">
        <v>326</v>
      </c>
      <c r="D13" s="30" t="s">
        <v>548</v>
      </c>
      <c r="E13" s="30"/>
      <c r="F13" s="30" t="s">
        <v>549</v>
      </c>
      <c r="G13" s="30" t="s">
        <v>513</v>
      </c>
      <c r="H13" s="30" t="s">
        <v>550</v>
      </c>
      <c r="I13" s="30" t="s">
        <v>487</v>
      </c>
      <c r="J13" s="271"/>
      <c r="K13" s="254"/>
      <c r="L13" s="271"/>
      <c r="M13" s="271"/>
      <c r="N13" s="271"/>
      <c r="O13" s="30"/>
      <c r="P13" s="30"/>
      <c r="Q13" s="30"/>
      <c r="R13" s="30" t="s">
        <v>549</v>
      </c>
      <c r="S13" s="30" t="s">
        <v>491</v>
      </c>
      <c r="T13" s="273" t="s">
        <v>479</v>
      </c>
      <c r="U13" s="30" t="s">
        <v>493</v>
      </c>
      <c r="V13" s="30"/>
      <c r="W13" s="257" t="s">
        <v>1700</v>
      </c>
      <c r="X13" s="283">
        <v>0.4</v>
      </c>
      <c r="Y13" s="283">
        <v>0.4</v>
      </c>
      <c r="Z13" s="283">
        <v>0.4</v>
      </c>
      <c r="AA13" s="283">
        <v>0.3</v>
      </c>
      <c r="AB13" s="283">
        <v>0.3</v>
      </c>
      <c r="AC13" s="283">
        <v>0.3</v>
      </c>
      <c r="AD13" s="283">
        <v>0.3</v>
      </c>
      <c r="AE13" s="265" t="s">
        <v>1549</v>
      </c>
      <c r="AF13" s="283"/>
    </row>
    <row r="14" spans="1:34" ht="16.5" customHeight="1" x14ac:dyDescent="0.25">
      <c r="A14" s="30"/>
      <c r="B14" s="30">
        <v>12108</v>
      </c>
      <c r="C14" s="30" t="s">
        <v>328</v>
      </c>
      <c r="D14" s="30" t="s">
        <v>551</v>
      </c>
      <c r="E14" s="30"/>
      <c r="F14" s="284" t="s">
        <v>552</v>
      </c>
      <c r="G14" s="30" t="s">
        <v>513</v>
      </c>
      <c r="H14" s="30" t="s">
        <v>483</v>
      </c>
      <c r="I14" s="270" t="s">
        <v>505</v>
      </c>
      <c r="J14" s="271"/>
      <c r="K14" s="254"/>
      <c r="L14" s="271"/>
      <c r="M14" s="271"/>
      <c r="N14" s="271"/>
      <c r="O14" s="30"/>
      <c r="P14" s="30"/>
      <c r="Q14" s="30"/>
      <c r="R14" s="285" t="s">
        <v>552</v>
      </c>
      <c r="S14" s="278" t="s">
        <v>491</v>
      </c>
      <c r="T14" s="273" t="s">
        <v>479</v>
      </c>
      <c r="U14" s="30" t="s">
        <v>493</v>
      </c>
      <c r="V14" s="30"/>
      <c r="W14" s="257" t="s">
        <v>1700</v>
      </c>
      <c r="X14" s="283">
        <v>0.4</v>
      </c>
      <c r="Y14" s="283">
        <v>0.4</v>
      </c>
      <c r="Z14" s="283">
        <v>0.4</v>
      </c>
      <c r="AA14" s="283">
        <v>0.3</v>
      </c>
      <c r="AB14" s="283">
        <v>0.3</v>
      </c>
      <c r="AC14" s="283">
        <v>0.3</v>
      </c>
      <c r="AD14" s="283">
        <v>0.3</v>
      </c>
      <c r="AE14" s="265" t="s">
        <v>1549</v>
      </c>
      <c r="AF14" s="283"/>
    </row>
    <row r="15" spans="1:34" ht="16.5" customHeight="1" x14ac:dyDescent="0.25">
      <c r="A15" s="30"/>
      <c r="B15" s="30">
        <v>12109</v>
      </c>
      <c r="C15" s="30" t="s">
        <v>330</v>
      </c>
      <c r="D15" s="30" t="s">
        <v>553</v>
      </c>
      <c r="E15" s="30"/>
      <c r="F15" s="30" t="s">
        <v>554</v>
      </c>
      <c r="G15" s="30" t="s">
        <v>513</v>
      </c>
      <c r="H15" s="30" t="s">
        <v>555</v>
      </c>
      <c r="I15" s="270" t="s">
        <v>505</v>
      </c>
      <c r="J15" s="30"/>
      <c r="K15" s="30"/>
      <c r="L15" s="30"/>
      <c r="M15" s="30"/>
      <c r="N15" s="30"/>
      <c r="O15" s="30"/>
      <c r="P15" s="30"/>
      <c r="Q15" s="30"/>
      <c r="R15" s="30" t="s">
        <v>554</v>
      </c>
      <c r="S15" s="30" t="s">
        <v>491</v>
      </c>
      <c r="T15" s="273" t="s">
        <v>479</v>
      </c>
      <c r="U15" s="30" t="s">
        <v>493</v>
      </c>
      <c r="V15" s="30"/>
      <c r="W15" s="286" t="s">
        <v>1701</v>
      </c>
      <c r="X15" s="275">
        <v>0.6</v>
      </c>
      <c r="Y15" s="275">
        <v>0.6</v>
      </c>
      <c r="Z15" s="275">
        <v>0.6</v>
      </c>
      <c r="AA15" s="275">
        <v>0.7</v>
      </c>
      <c r="AB15" s="275">
        <v>0.7</v>
      </c>
      <c r="AC15" s="275">
        <v>0.7</v>
      </c>
      <c r="AD15" s="287">
        <v>0.7</v>
      </c>
      <c r="AE15" s="265" t="s">
        <v>1549</v>
      </c>
      <c r="AF15" s="287"/>
    </row>
    <row r="16" spans="1:34" ht="16.5" customHeight="1" x14ac:dyDescent="0.25">
      <c r="A16" s="30"/>
      <c r="B16" s="30">
        <v>12110</v>
      </c>
      <c r="C16" s="30" t="s">
        <v>332</v>
      </c>
      <c r="D16" s="30" t="s">
        <v>498</v>
      </c>
      <c r="E16" s="30"/>
      <c r="F16" s="30" t="s">
        <v>556</v>
      </c>
      <c r="G16" s="30" t="s">
        <v>513</v>
      </c>
      <c r="H16" s="30" t="s">
        <v>557</v>
      </c>
      <c r="I16" s="270" t="s">
        <v>505</v>
      </c>
      <c r="J16" s="30"/>
      <c r="K16" s="30"/>
      <c r="L16" s="30"/>
      <c r="M16" s="30"/>
      <c r="N16" s="30"/>
      <c r="O16" s="30"/>
      <c r="P16" s="30"/>
      <c r="Q16" s="30"/>
      <c r="R16" s="30" t="s">
        <v>556</v>
      </c>
      <c r="S16" s="30" t="s">
        <v>491</v>
      </c>
      <c r="T16" s="273" t="s">
        <v>479</v>
      </c>
      <c r="U16" s="30" t="s">
        <v>493</v>
      </c>
      <c r="V16" s="30"/>
      <c r="W16" s="257"/>
      <c r="X16" s="257"/>
      <c r="Y16" s="257"/>
      <c r="Z16" s="257"/>
      <c r="AA16" s="257"/>
    </row>
    <row r="17" spans="1:31" ht="16.5" customHeight="1" x14ac:dyDescent="0.25">
      <c r="A17" s="30"/>
      <c r="B17" s="30">
        <v>12111</v>
      </c>
      <c r="C17" s="30" t="s">
        <v>334</v>
      </c>
      <c r="D17" s="30" t="s">
        <v>532</v>
      </c>
      <c r="E17" s="30"/>
      <c r="F17" s="273" t="s">
        <v>558</v>
      </c>
      <c r="G17" s="30" t="s">
        <v>513</v>
      </c>
      <c r="H17" s="30" t="s">
        <v>559</v>
      </c>
      <c r="I17" s="30" t="s">
        <v>487</v>
      </c>
      <c r="J17" s="30"/>
      <c r="K17" s="30"/>
      <c r="L17" s="30"/>
      <c r="M17" s="30"/>
      <c r="N17" s="30"/>
      <c r="O17" s="30"/>
      <c r="P17" s="30"/>
      <c r="Q17" s="30"/>
      <c r="R17" s="30" t="s">
        <v>558</v>
      </c>
      <c r="S17" s="30" t="s">
        <v>542</v>
      </c>
      <c r="T17" s="273" t="s">
        <v>479</v>
      </c>
      <c r="U17" s="30" t="s">
        <v>493</v>
      </c>
      <c r="V17" s="30"/>
    </row>
    <row r="18" spans="1:31" ht="16.5" customHeight="1" x14ac:dyDescent="0.25">
      <c r="A18" s="30"/>
      <c r="B18" s="30">
        <v>12112</v>
      </c>
      <c r="C18" s="30" t="s">
        <v>336</v>
      </c>
      <c r="D18" s="30" t="s">
        <v>560</v>
      </c>
      <c r="E18" s="30"/>
      <c r="F18" s="30" t="s">
        <v>561</v>
      </c>
      <c r="G18" s="30" t="s">
        <v>485</v>
      </c>
      <c r="H18" s="30" t="s">
        <v>560</v>
      </c>
      <c r="I18" s="30" t="s">
        <v>487</v>
      </c>
      <c r="J18" s="30"/>
      <c r="K18" s="30"/>
      <c r="L18" s="30"/>
      <c r="M18" s="30"/>
      <c r="N18" s="30"/>
      <c r="O18" s="30"/>
      <c r="P18" s="30"/>
      <c r="Q18" s="30" t="str">
        <f>VLOOKUP($Q$11,TablaSujetos215[],3,TRUE)</f>
        <v>MIXTA&gt;50 sin ing</v>
      </c>
      <c r="R18" s="30" t="s">
        <v>561</v>
      </c>
      <c r="S18" s="30" t="s">
        <v>491</v>
      </c>
      <c r="T18" s="264" t="s">
        <v>492</v>
      </c>
      <c r="U18" s="30" t="s">
        <v>493</v>
      </c>
      <c r="V18" s="30"/>
    </row>
    <row r="19" spans="1:31" ht="16.5" customHeight="1" x14ac:dyDescent="0.25">
      <c r="A19" s="30"/>
      <c r="B19" s="30">
        <v>12113</v>
      </c>
      <c r="C19" s="30" t="s">
        <v>338</v>
      </c>
      <c r="D19" s="30" t="s">
        <v>562</v>
      </c>
      <c r="E19" s="30"/>
      <c r="F19" s="30" t="s">
        <v>563</v>
      </c>
      <c r="G19" s="30" t="s">
        <v>513</v>
      </c>
      <c r="H19" s="30" t="s">
        <v>557</v>
      </c>
      <c r="I19" s="270" t="s">
        <v>505</v>
      </c>
      <c r="J19" s="30"/>
      <c r="K19" s="30"/>
      <c r="L19" s="30"/>
      <c r="M19" s="30"/>
      <c r="N19" s="30"/>
      <c r="O19" s="30"/>
      <c r="P19" s="30"/>
      <c r="Q19" s="30"/>
      <c r="R19" s="30" t="s">
        <v>563</v>
      </c>
      <c r="S19" s="30" t="s">
        <v>491</v>
      </c>
      <c r="T19" s="264" t="s">
        <v>492</v>
      </c>
      <c r="U19" s="30" t="s">
        <v>493</v>
      </c>
      <c r="V19" s="30"/>
    </row>
    <row r="20" spans="1:31" ht="21" customHeight="1" x14ac:dyDescent="0.25">
      <c r="A20" s="30"/>
      <c r="B20" s="30">
        <v>12114</v>
      </c>
      <c r="C20" s="30" t="s">
        <v>340</v>
      </c>
      <c r="D20" s="30" t="s">
        <v>564</v>
      </c>
      <c r="E20" s="30"/>
      <c r="F20" s="30" t="s">
        <v>565</v>
      </c>
      <c r="G20" s="30" t="s">
        <v>513</v>
      </c>
      <c r="H20" s="30" t="s">
        <v>511</v>
      </c>
      <c r="I20" s="270" t="s">
        <v>505</v>
      </c>
      <c r="J20" s="30"/>
      <c r="K20" s="30"/>
      <c r="L20" s="30"/>
      <c r="M20" s="30"/>
      <c r="N20" s="30"/>
      <c r="O20" s="30"/>
      <c r="P20" s="30"/>
      <c r="Q20" s="30"/>
      <c r="R20" s="30" t="s">
        <v>565</v>
      </c>
      <c r="S20" s="30" t="s">
        <v>491</v>
      </c>
      <c r="T20" s="273" t="s">
        <v>516</v>
      </c>
      <c r="U20" s="30" t="s">
        <v>509</v>
      </c>
      <c r="V20" s="30"/>
    </row>
    <row r="21" spans="1:31" ht="16.5" customHeight="1" x14ac:dyDescent="0.25">
      <c r="A21" s="30"/>
      <c r="B21" s="30">
        <v>12115</v>
      </c>
      <c r="C21" s="30" t="s">
        <v>342</v>
      </c>
      <c r="D21" s="30" t="s">
        <v>566</v>
      </c>
      <c r="E21" s="30"/>
      <c r="F21" s="30" t="s">
        <v>567</v>
      </c>
      <c r="G21" s="30" t="s">
        <v>513</v>
      </c>
      <c r="H21" s="30" t="s">
        <v>568</v>
      </c>
      <c r="I21" s="270" t="s">
        <v>505</v>
      </c>
      <c r="J21" s="30"/>
      <c r="K21" s="30"/>
      <c r="L21" s="30"/>
      <c r="M21" s="30"/>
      <c r="N21" s="30"/>
      <c r="O21" s="30"/>
      <c r="P21" s="30"/>
      <c r="Q21" s="30"/>
      <c r="R21" s="30" t="s">
        <v>567</v>
      </c>
      <c r="S21" s="30" t="s">
        <v>491</v>
      </c>
      <c r="T21" s="273" t="s">
        <v>516</v>
      </c>
      <c r="U21" s="30" t="s">
        <v>509</v>
      </c>
      <c r="V21" s="30"/>
    </row>
    <row r="22" spans="1:31" ht="16.5" customHeight="1" x14ac:dyDescent="0.25">
      <c r="A22" s="30"/>
      <c r="B22" s="30">
        <v>12116</v>
      </c>
      <c r="C22" s="30" t="s">
        <v>344</v>
      </c>
      <c r="D22" s="30" t="s">
        <v>569</v>
      </c>
      <c r="E22" s="30"/>
      <c r="F22" s="30" t="s">
        <v>570</v>
      </c>
      <c r="G22" s="30" t="s">
        <v>513</v>
      </c>
      <c r="H22" s="30" t="s">
        <v>496</v>
      </c>
      <c r="I22" s="270" t="s">
        <v>505</v>
      </c>
      <c r="J22" s="30"/>
      <c r="K22" s="30"/>
      <c r="L22" s="30"/>
      <c r="M22" s="30"/>
      <c r="N22" s="30"/>
      <c r="O22" s="30"/>
      <c r="P22" s="30"/>
      <c r="Q22" s="30"/>
      <c r="R22" s="30" t="s">
        <v>570</v>
      </c>
      <c r="S22" s="30" t="s">
        <v>491</v>
      </c>
      <c r="T22" s="273" t="s">
        <v>516</v>
      </c>
      <c r="U22" s="30" t="s">
        <v>509</v>
      </c>
      <c r="V22" s="30"/>
    </row>
    <row r="23" spans="1:31" ht="88.5" customHeight="1" x14ac:dyDescent="0.25">
      <c r="A23" s="30"/>
      <c r="B23" s="30">
        <v>12117</v>
      </c>
      <c r="C23" s="30" t="s">
        <v>346</v>
      </c>
      <c r="D23" s="30" t="s">
        <v>571</v>
      </c>
      <c r="E23" s="30"/>
      <c r="F23" s="30" t="s">
        <v>572</v>
      </c>
      <c r="G23" s="30" t="s">
        <v>513</v>
      </c>
      <c r="H23" s="30" t="s">
        <v>557</v>
      </c>
      <c r="I23" s="270" t="s">
        <v>505</v>
      </c>
      <c r="J23" s="30"/>
      <c r="K23" s="30"/>
      <c r="L23" s="30"/>
      <c r="M23" s="30"/>
      <c r="N23" s="30"/>
      <c r="O23" s="30"/>
      <c r="P23" s="30"/>
      <c r="Q23" s="30"/>
      <c r="R23" s="30" t="s">
        <v>572</v>
      </c>
      <c r="S23" s="30" t="s">
        <v>491</v>
      </c>
      <c r="T23" s="264" t="s">
        <v>492</v>
      </c>
      <c r="U23" s="30" t="s">
        <v>493</v>
      </c>
      <c r="V23" s="30"/>
    </row>
    <row r="24" spans="1:31" ht="72.75" customHeight="1" x14ac:dyDescent="0.25">
      <c r="A24" s="30"/>
      <c r="B24" s="30">
        <v>12118</v>
      </c>
      <c r="C24" s="30" t="s">
        <v>348</v>
      </c>
      <c r="D24" s="30" t="s">
        <v>573</v>
      </c>
      <c r="E24" s="30"/>
      <c r="F24" s="30" t="s">
        <v>574</v>
      </c>
      <c r="G24" s="30" t="s">
        <v>513</v>
      </c>
      <c r="H24" s="30" t="s">
        <v>496</v>
      </c>
      <c r="I24" s="270" t="s">
        <v>505</v>
      </c>
      <c r="J24" s="30"/>
      <c r="K24" s="30"/>
      <c r="L24" s="30"/>
      <c r="M24" s="30"/>
      <c r="N24" s="30"/>
      <c r="O24" s="30"/>
      <c r="P24" s="30"/>
      <c r="Q24" s="30"/>
      <c r="R24" s="288" t="s">
        <v>574</v>
      </c>
      <c r="S24" s="30" t="s">
        <v>491</v>
      </c>
      <c r="T24" s="273" t="s">
        <v>516</v>
      </c>
      <c r="U24" s="30" t="s">
        <v>509</v>
      </c>
      <c r="V24" s="30"/>
      <c r="W24" s="289"/>
      <c r="AA24" s="257"/>
      <c r="AB24" s="257"/>
    </row>
    <row r="25" spans="1:31" ht="16.5" customHeight="1" x14ac:dyDescent="0.25">
      <c r="A25" s="30"/>
      <c r="B25" s="30">
        <v>12119</v>
      </c>
      <c r="C25" s="30" t="s">
        <v>350</v>
      </c>
      <c r="D25" s="30" t="s">
        <v>575</v>
      </c>
      <c r="E25" s="30"/>
      <c r="F25" s="30" t="s">
        <v>576</v>
      </c>
      <c r="G25" s="30" t="s">
        <v>485</v>
      </c>
      <c r="H25" s="30" t="s">
        <v>562</v>
      </c>
      <c r="I25" s="30" t="s">
        <v>487</v>
      </c>
      <c r="J25" s="30"/>
      <c r="K25" s="30"/>
      <c r="L25" s="30"/>
      <c r="M25" s="30"/>
      <c r="N25" s="30"/>
      <c r="O25" s="30"/>
      <c r="P25" s="30"/>
      <c r="Q25" s="30"/>
      <c r="R25" s="30" t="s">
        <v>576</v>
      </c>
      <c r="S25" s="30" t="s">
        <v>491</v>
      </c>
      <c r="T25" s="264" t="s">
        <v>492</v>
      </c>
      <c r="U25" s="30" t="s">
        <v>493</v>
      </c>
      <c r="V25" s="30"/>
      <c r="W25" s="289"/>
      <c r="AA25" s="257"/>
    </row>
    <row r="26" spans="1:31" ht="16.5" customHeight="1" x14ac:dyDescent="0.25">
      <c r="A26" s="30"/>
      <c r="B26" s="30">
        <v>12120</v>
      </c>
      <c r="C26" s="30" t="s">
        <v>352</v>
      </c>
      <c r="D26" s="30" t="s">
        <v>577</v>
      </c>
      <c r="E26" s="30"/>
      <c r="F26" s="30" t="s">
        <v>578</v>
      </c>
      <c r="G26" s="30" t="s">
        <v>579</v>
      </c>
      <c r="H26" s="30" t="s">
        <v>580</v>
      </c>
      <c r="I26" s="270" t="s">
        <v>505</v>
      </c>
      <c r="J26" s="30"/>
      <c r="K26" s="30"/>
      <c r="L26" s="30"/>
      <c r="M26" s="30"/>
      <c r="N26" s="30"/>
      <c r="O26" s="30"/>
      <c r="P26" s="30"/>
      <c r="Q26" s="30"/>
      <c r="R26" s="30" t="s">
        <v>578</v>
      </c>
      <c r="S26" s="30" t="s">
        <v>491</v>
      </c>
      <c r="T26" s="264" t="s">
        <v>492</v>
      </c>
      <c r="U26" s="30" t="s">
        <v>493</v>
      </c>
      <c r="V26" s="30"/>
      <c r="W26" s="289"/>
      <c r="AA26" s="283"/>
      <c r="AB26" s="283"/>
    </row>
    <row r="27" spans="1:31" ht="16.5" customHeight="1" x14ac:dyDescent="0.25">
      <c r="A27" s="30"/>
      <c r="B27" s="30">
        <v>130000</v>
      </c>
      <c r="C27" s="30" t="s">
        <v>354</v>
      </c>
      <c r="D27" s="30" t="s">
        <v>557</v>
      </c>
      <c r="E27" s="30"/>
      <c r="F27" s="30" t="s">
        <v>581</v>
      </c>
      <c r="G27" s="30" t="s">
        <v>513</v>
      </c>
      <c r="H27" s="30" t="s">
        <v>582</v>
      </c>
      <c r="I27" s="270" t="s">
        <v>505</v>
      </c>
      <c r="J27" s="30"/>
      <c r="K27" s="30"/>
      <c r="L27" s="30"/>
      <c r="M27" s="30"/>
      <c r="N27" s="30"/>
      <c r="O27" s="30"/>
      <c r="P27" s="30"/>
      <c r="Q27" s="30"/>
      <c r="R27" s="30" t="s">
        <v>581</v>
      </c>
      <c r="S27" s="30" t="s">
        <v>491</v>
      </c>
      <c r="T27" s="264" t="s">
        <v>492</v>
      </c>
      <c r="U27" s="30" t="s">
        <v>493</v>
      </c>
      <c r="V27" s="30"/>
      <c r="W27" s="290"/>
      <c r="X27" s="257"/>
      <c r="Y27" s="257"/>
      <c r="Z27" s="283"/>
      <c r="AA27" s="257"/>
    </row>
    <row r="28" spans="1:31" ht="16.5" customHeight="1" x14ac:dyDescent="0.25">
      <c r="A28" s="30"/>
      <c r="B28" s="30">
        <v>140000</v>
      </c>
      <c r="C28" s="30" t="s">
        <v>356</v>
      </c>
      <c r="D28" s="30" t="s">
        <v>547</v>
      </c>
      <c r="E28" s="30"/>
      <c r="F28" s="30" t="s">
        <v>583</v>
      </c>
      <c r="G28" s="30" t="s">
        <v>513</v>
      </c>
      <c r="H28" s="30" t="s">
        <v>580</v>
      </c>
      <c r="I28" s="270" t="s">
        <v>505</v>
      </c>
      <c r="J28" s="30"/>
      <c r="K28" s="30"/>
      <c r="L28" s="30"/>
      <c r="M28" s="30"/>
      <c r="N28" s="30"/>
      <c r="O28" s="30"/>
      <c r="P28" s="30"/>
      <c r="Q28" s="30"/>
      <c r="R28" s="30" t="s">
        <v>583</v>
      </c>
      <c r="S28" s="30" t="s">
        <v>491</v>
      </c>
      <c r="T28" s="264" t="s">
        <v>492</v>
      </c>
      <c r="U28" s="30" t="s">
        <v>493</v>
      </c>
      <c r="V28" s="30"/>
      <c r="W28" s="289"/>
      <c r="X28" s="257"/>
      <c r="Y28" s="257"/>
      <c r="Z28" s="283"/>
      <c r="AA28" s="257"/>
    </row>
    <row r="29" spans="1:31" ht="16.5" customHeight="1" x14ac:dyDescent="0.25">
      <c r="A29" s="30"/>
      <c r="B29" s="30">
        <v>150000</v>
      </c>
      <c r="C29" s="30" t="s">
        <v>358</v>
      </c>
      <c r="D29" s="30" t="s">
        <v>541</v>
      </c>
      <c r="E29" s="30"/>
      <c r="F29" s="30" t="s">
        <v>584</v>
      </c>
      <c r="G29" s="30" t="s">
        <v>485</v>
      </c>
      <c r="H29" s="30" t="s">
        <v>564</v>
      </c>
      <c r="I29" s="30" t="s">
        <v>487</v>
      </c>
      <c r="J29" s="30"/>
      <c r="K29" s="30"/>
      <c r="L29" s="30"/>
      <c r="M29" s="30"/>
      <c r="N29" s="30"/>
      <c r="O29" s="30"/>
      <c r="P29" s="30"/>
      <c r="Q29" s="30"/>
      <c r="R29" s="30" t="s">
        <v>584</v>
      </c>
      <c r="S29" s="30" t="s">
        <v>491</v>
      </c>
      <c r="T29" s="264" t="s">
        <v>492</v>
      </c>
      <c r="U29" s="30" t="s">
        <v>493</v>
      </c>
      <c r="V29" s="30"/>
      <c r="W29" s="291" t="s">
        <v>585</v>
      </c>
      <c r="X29" s="257"/>
      <c r="Y29" s="257"/>
      <c r="Z29" s="257"/>
      <c r="AA29" s="257"/>
    </row>
    <row r="30" spans="1:31" ht="16.5" customHeight="1" x14ac:dyDescent="0.25">
      <c r="A30" s="30"/>
      <c r="B30" s="30">
        <v>190000</v>
      </c>
      <c r="C30" s="30" t="s">
        <v>360</v>
      </c>
      <c r="D30" s="30" t="s">
        <v>555</v>
      </c>
      <c r="E30" s="30"/>
      <c r="F30" s="30" t="s">
        <v>586</v>
      </c>
      <c r="G30" s="30" t="s">
        <v>485</v>
      </c>
      <c r="H30" s="30" t="s">
        <v>566</v>
      </c>
      <c r="I30" s="30" t="s">
        <v>487</v>
      </c>
      <c r="J30" s="30"/>
      <c r="K30" s="30"/>
      <c r="L30" s="30"/>
      <c r="M30" s="30"/>
      <c r="N30" s="30"/>
      <c r="O30" s="30"/>
      <c r="P30" s="30"/>
      <c r="Q30" s="30"/>
      <c r="R30" s="30" t="s">
        <v>586</v>
      </c>
      <c r="S30" s="30" t="s">
        <v>491</v>
      </c>
      <c r="T30" s="264" t="s">
        <v>492</v>
      </c>
      <c r="U30" s="30" t="s">
        <v>493</v>
      </c>
      <c r="V30" s="30"/>
      <c r="W30" s="279" t="s">
        <v>587</v>
      </c>
      <c r="X30" s="257"/>
      <c r="Y30" s="257"/>
      <c r="Z30" s="283"/>
      <c r="AA30" s="257"/>
    </row>
    <row r="31" spans="1:31" ht="107.25" customHeight="1" x14ac:dyDescent="0.25">
      <c r="A31" s="30"/>
      <c r="B31" s="30">
        <v>200000</v>
      </c>
      <c r="C31" s="30" t="s">
        <v>362</v>
      </c>
      <c r="D31" s="30" t="s">
        <v>568</v>
      </c>
      <c r="E31" s="30"/>
      <c r="F31" s="30" t="s">
        <v>588</v>
      </c>
      <c r="G31" s="30" t="s">
        <v>485</v>
      </c>
      <c r="H31" s="30" t="s">
        <v>569</v>
      </c>
      <c r="I31" s="30" t="s">
        <v>487</v>
      </c>
      <c r="J31" s="30"/>
      <c r="K31" s="30"/>
      <c r="L31" s="30"/>
      <c r="M31" s="30"/>
      <c r="N31" s="30"/>
      <c r="O31" s="30"/>
      <c r="P31" s="30"/>
      <c r="Q31" s="30"/>
      <c r="R31" s="30" t="s">
        <v>588</v>
      </c>
      <c r="S31" s="30" t="s">
        <v>491</v>
      </c>
      <c r="T31" s="264" t="s">
        <v>492</v>
      </c>
      <c r="U31" s="30" t="s">
        <v>493</v>
      </c>
      <c r="V31" s="30"/>
      <c r="W31" s="291" t="s">
        <v>589</v>
      </c>
      <c r="X31" s="257"/>
      <c r="Y31" s="257"/>
      <c r="Z31" s="257"/>
      <c r="AA31" s="257"/>
      <c r="AB31" s="257"/>
      <c r="AC31" s="257"/>
      <c r="AD31" s="257"/>
      <c r="AE31" s="257"/>
    </row>
    <row r="32" spans="1:31" ht="16.5" customHeight="1" x14ac:dyDescent="0.25">
      <c r="A32" s="30"/>
      <c r="B32" s="30">
        <v>210000</v>
      </c>
      <c r="C32" s="30" t="s">
        <v>364</v>
      </c>
      <c r="D32" s="30" t="s">
        <v>119</v>
      </c>
      <c r="E32" s="30"/>
      <c r="F32" s="30" t="s">
        <v>590</v>
      </c>
      <c r="G32" s="30" t="s">
        <v>485</v>
      </c>
      <c r="H32" s="30" t="s">
        <v>571</v>
      </c>
      <c r="I32" s="30" t="s">
        <v>487</v>
      </c>
      <c r="J32" s="30"/>
      <c r="K32" s="30"/>
      <c r="L32" s="30"/>
      <c r="M32" s="30"/>
      <c r="N32" s="30"/>
      <c r="O32" s="30"/>
      <c r="P32" s="30"/>
      <c r="Q32" s="30"/>
      <c r="R32" s="30" t="s">
        <v>590</v>
      </c>
      <c r="S32" s="30" t="s">
        <v>491</v>
      </c>
      <c r="T32" s="264" t="s">
        <v>492</v>
      </c>
      <c r="U32" s="30" t="s">
        <v>493</v>
      </c>
      <c r="V32" s="30"/>
      <c r="W32" s="257"/>
      <c r="X32" s="257"/>
      <c r="Y32" s="257"/>
      <c r="Z32" s="257"/>
      <c r="AA32" s="257"/>
      <c r="AB32" s="257"/>
      <c r="AC32" s="257"/>
      <c r="AD32" s="257"/>
      <c r="AE32" s="257"/>
    </row>
    <row r="33" spans="1:31" ht="16.5" customHeight="1" x14ac:dyDescent="0.25">
      <c r="A33" s="30"/>
      <c r="B33" s="30">
        <v>220000</v>
      </c>
      <c r="C33" s="30" t="s">
        <v>366</v>
      </c>
      <c r="D33" s="30" t="s">
        <v>559</v>
      </c>
      <c r="E33" s="30"/>
      <c r="F33" s="30" t="s">
        <v>591</v>
      </c>
      <c r="G33" s="30" t="s">
        <v>485</v>
      </c>
      <c r="H33" s="30" t="s">
        <v>573</v>
      </c>
      <c r="I33" s="30" t="s">
        <v>487</v>
      </c>
      <c r="J33" s="30"/>
      <c r="K33" s="30"/>
      <c r="L33" s="30"/>
      <c r="M33" s="30"/>
      <c r="N33" s="30"/>
      <c r="O33" s="30"/>
      <c r="P33" s="30"/>
      <c r="Q33" s="30"/>
      <c r="R33" s="30" t="s">
        <v>591</v>
      </c>
      <c r="S33" s="30" t="s">
        <v>491</v>
      </c>
      <c r="T33" s="264" t="s">
        <v>492</v>
      </c>
      <c r="U33" s="30" t="s">
        <v>493</v>
      </c>
      <c r="V33" s="30"/>
      <c r="W33" s="257"/>
      <c r="X33" s="257"/>
      <c r="Y33" s="257"/>
      <c r="Z33" s="257"/>
      <c r="AA33" s="257"/>
      <c r="AB33" s="257"/>
      <c r="AC33" s="257"/>
      <c r="AD33" s="257"/>
      <c r="AE33" s="257"/>
    </row>
    <row r="34" spans="1:31" ht="16.5" customHeight="1" x14ac:dyDescent="0.25">
      <c r="A34" s="30"/>
      <c r="B34" s="30">
        <v>230000</v>
      </c>
      <c r="C34" s="30" t="s">
        <v>368</v>
      </c>
      <c r="D34" s="30" t="s">
        <v>580</v>
      </c>
      <c r="E34" s="30"/>
      <c r="F34" s="30" t="s">
        <v>592</v>
      </c>
      <c r="G34" s="30" t="s">
        <v>485</v>
      </c>
      <c r="H34" s="30" t="s">
        <v>575</v>
      </c>
      <c r="I34" s="30" t="s">
        <v>487</v>
      </c>
      <c r="J34" s="30"/>
      <c r="K34" s="30"/>
      <c r="L34" s="30"/>
      <c r="M34" s="30"/>
      <c r="N34" s="30"/>
      <c r="O34" s="30"/>
      <c r="P34" s="30"/>
      <c r="Q34" s="30"/>
      <c r="R34" s="30" t="s">
        <v>592</v>
      </c>
      <c r="S34" s="30" t="s">
        <v>491</v>
      </c>
      <c r="T34" s="264" t="s">
        <v>492</v>
      </c>
      <c r="U34" s="30" t="s">
        <v>493</v>
      </c>
      <c r="V34" s="30"/>
      <c r="W34" s="257"/>
      <c r="X34" s="257"/>
      <c r="Y34" s="257"/>
      <c r="Z34" s="257"/>
      <c r="AA34" s="257"/>
      <c r="AB34" s="257"/>
      <c r="AC34" s="257"/>
      <c r="AD34" s="257"/>
      <c r="AE34" s="257"/>
    </row>
    <row r="35" spans="1:31" ht="16.5" customHeight="1" x14ac:dyDescent="0.25">
      <c r="A35" s="30"/>
      <c r="B35" s="30">
        <v>80000</v>
      </c>
      <c r="C35" s="30" t="s">
        <v>370</v>
      </c>
      <c r="D35" s="30" t="s">
        <v>550</v>
      </c>
      <c r="E35" s="30"/>
      <c r="F35" s="30" t="s">
        <v>593</v>
      </c>
      <c r="G35" s="30" t="s">
        <v>485</v>
      </c>
      <c r="H35" s="30" t="s">
        <v>525</v>
      </c>
      <c r="I35" s="30" t="s">
        <v>487</v>
      </c>
      <c r="J35" s="30"/>
      <c r="K35" s="30"/>
      <c r="L35" s="30"/>
      <c r="M35" s="30"/>
      <c r="N35" s="30"/>
      <c r="O35" s="30"/>
      <c r="P35" s="30"/>
      <c r="Q35" s="30"/>
      <c r="R35" s="30" t="s">
        <v>593</v>
      </c>
      <c r="S35" s="30" t="s">
        <v>491</v>
      </c>
      <c r="T35" s="264" t="s">
        <v>492</v>
      </c>
      <c r="U35" s="30" t="s">
        <v>493</v>
      </c>
      <c r="V35" s="30"/>
      <c r="W35" s="257"/>
      <c r="X35" s="257"/>
      <c r="Y35" s="257"/>
      <c r="Z35" s="257"/>
      <c r="AA35" s="257"/>
      <c r="AB35" s="257"/>
      <c r="AC35" s="257"/>
      <c r="AD35" s="257"/>
      <c r="AE35" s="257"/>
    </row>
    <row r="36" spans="1:31" ht="16.5" customHeight="1" x14ac:dyDescent="0.25">
      <c r="A36" s="30"/>
      <c r="B36" s="30">
        <v>90000</v>
      </c>
      <c r="C36" s="30" t="s">
        <v>372</v>
      </c>
      <c r="D36" s="30" t="s">
        <v>582</v>
      </c>
      <c r="E36" s="30"/>
      <c r="F36" s="30" t="s">
        <v>594</v>
      </c>
      <c r="G36" s="30" t="s">
        <v>485</v>
      </c>
      <c r="H36" s="30" t="s">
        <v>577</v>
      </c>
      <c r="I36" s="30" t="s">
        <v>487</v>
      </c>
      <c r="J36" s="30"/>
      <c r="K36" s="30"/>
      <c r="L36" s="30"/>
      <c r="M36" s="30"/>
      <c r="N36" s="30"/>
      <c r="O36" s="30"/>
      <c r="P36" s="30"/>
      <c r="Q36" s="30"/>
      <c r="R36" s="30" t="s">
        <v>594</v>
      </c>
      <c r="S36" s="30" t="s">
        <v>491</v>
      </c>
      <c r="T36" s="264" t="s">
        <v>492</v>
      </c>
      <c r="U36" s="30" t="s">
        <v>493</v>
      </c>
      <c r="V36" s="30"/>
      <c r="W36" s="257"/>
      <c r="X36" s="257"/>
      <c r="Y36" s="257"/>
      <c r="Z36" s="257"/>
      <c r="AA36" s="257"/>
      <c r="AB36" s="257"/>
      <c r="AC36" s="257"/>
      <c r="AD36" s="257"/>
      <c r="AE36" s="257"/>
    </row>
    <row r="37" spans="1:31" ht="16.5" customHeight="1" x14ac:dyDescent="0.25">
      <c r="A37" s="30"/>
      <c r="B37" s="30"/>
      <c r="C37" s="30"/>
      <c r="D37" s="30"/>
      <c r="E37" s="30"/>
      <c r="F37" s="273" t="s">
        <v>595</v>
      </c>
      <c r="G37" s="30" t="s">
        <v>596</v>
      </c>
      <c r="H37" s="30" t="s">
        <v>555</v>
      </c>
      <c r="I37" s="270" t="s">
        <v>505</v>
      </c>
      <c r="J37" s="30" t="s">
        <v>487</v>
      </c>
      <c r="K37" s="30"/>
      <c r="L37" s="30"/>
      <c r="M37" s="30"/>
      <c r="N37" s="30"/>
      <c r="O37" s="30"/>
      <c r="P37" s="30"/>
      <c r="Q37" s="30"/>
      <c r="R37" s="30" t="s">
        <v>595</v>
      </c>
      <c r="S37" s="30" t="s">
        <v>542</v>
      </c>
      <c r="T37" s="273" t="s">
        <v>479</v>
      </c>
      <c r="U37" s="30" t="s">
        <v>493</v>
      </c>
      <c r="V37" s="30"/>
      <c r="W37" s="257"/>
      <c r="X37" s="257"/>
      <c r="Y37" s="257"/>
      <c r="Z37" s="257"/>
      <c r="AA37" s="257"/>
      <c r="AB37" s="257"/>
      <c r="AC37" s="257"/>
      <c r="AD37" s="257"/>
      <c r="AE37" s="257"/>
    </row>
    <row r="38" spans="1:31" ht="16.5" customHeight="1" x14ac:dyDescent="0.25">
      <c r="A38" s="30"/>
      <c r="B38" s="30"/>
      <c r="C38" s="30"/>
      <c r="D38" s="30"/>
      <c r="E38" s="30"/>
      <c r="F38" s="292" t="s">
        <v>597</v>
      </c>
      <c r="G38" s="30" t="s">
        <v>598</v>
      </c>
      <c r="H38" s="30" t="s">
        <v>483</v>
      </c>
      <c r="I38" s="270" t="s">
        <v>505</v>
      </c>
      <c r="J38" s="30" t="s">
        <v>487</v>
      </c>
      <c r="K38" s="30"/>
      <c r="L38" s="30"/>
      <c r="M38" s="30"/>
      <c r="N38" s="30"/>
      <c r="O38" s="30"/>
      <c r="P38" s="30"/>
      <c r="Q38" s="30"/>
      <c r="R38" s="293" t="s">
        <v>597</v>
      </c>
      <c r="S38" s="294" t="s">
        <v>542</v>
      </c>
      <c r="T38" s="295" t="s">
        <v>479</v>
      </c>
      <c r="U38" s="294" t="s">
        <v>493</v>
      </c>
      <c r="V38" s="294"/>
      <c r="W38" s="257"/>
      <c r="X38" s="257"/>
      <c r="Y38" s="257"/>
      <c r="Z38" s="257"/>
      <c r="AA38" s="257"/>
      <c r="AB38" s="257"/>
      <c r="AC38" s="257"/>
      <c r="AD38" s="257"/>
      <c r="AE38" s="257"/>
    </row>
    <row r="39" spans="1:31" ht="23.65" customHeight="1" x14ac:dyDescent="0.25">
      <c r="A39" s="30"/>
      <c r="B39" s="30"/>
      <c r="C39" s="30"/>
      <c r="D39" s="30"/>
      <c r="E39" s="30"/>
      <c r="F39" s="30" t="s">
        <v>599</v>
      </c>
      <c r="G39" s="30" t="s">
        <v>600</v>
      </c>
      <c r="H39" s="30" t="s">
        <v>557</v>
      </c>
      <c r="I39" s="30" t="s">
        <v>487</v>
      </c>
      <c r="J39" s="30"/>
      <c r="K39" s="30"/>
      <c r="L39" s="30"/>
      <c r="M39" s="30"/>
      <c r="N39" s="30"/>
      <c r="O39" s="30"/>
      <c r="P39" s="30"/>
      <c r="Q39" s="30"/>
      <c r="R39" s="293" t="s">
        <v>601</v>
      </c>
      <c r="S39" s="294" t="s">
        <v>491</v>
      </c>
      <c r="T39" s="264" t="s">
        <v>492</v>
      </c>
      <c r="U39" s="30" t="s">
        <v>493</v>
      </c>
      <c r="V39" s="30"/>
      <c r="W39" s="257"/>
      <c r="X39" s="257"/>
      <c r="Y39" s="257"/>
      <c r="Z39" s="257"/>
      <c r="AA39" s="257"/>
      <c r="AB39" s="257"/>
      <c r="AC39" s="257"/>
      <c r="AD39" s="257"/>
      <c r="AE39" s="257"/>
    </row>
    <row r="40" spans="1:31" ht="16.5" customHeight="1" x14ac:dyDescent="0.25">
      <c r="A40" s="30"/>
      <c r="B40" s="30"/>
      <c r="C40" s="30"/>
      <c r="D40" s="30"/>
      <c r="E40" s="30"/>
      <c r="F40" s="292" t="s">
        <v>601</v>
      </c>
      <c r="G40" s="30" t="s">
        <v>513</v>
      </c>
      <c r="H40" s="30" t="s">
        <v>557</v>
      </c>
      <c r="I40" s="270" t="s">
        <v>505</v>
      </c>
      <c r="J40" s="30" t="s">
        <v>487</v>
      </c>
      <c r="K40" s="30"/>
      <c r="L40" s="30"/>
      <c r="M40" s="30"/>
      <c r="N40" s="30"/>
      <c r="O40" s="30"/>
      <c r="P40" s="30"/>
      <c r="Q40" s="30"/>
      <c r="R40" s="30" t="s">
        <v>602</v>
      </c>
      <c r="S40" s="30" t="s">
        <v>542</v>
      </c>
      <c r="T40" s="273" t="s">
        <v>479</v>
      </c>
      <c r="U40" s="30" t="s">
        <v>493</v>
      </c>
      <c r="V40" s="30"/>
      <c r="W40" s="257"/>
      <c r="X40" s="257"/>
      <c r="Y40" s="257"/>
      <c r="Z40" s="257"/>
      <c r="AA40" s="257"/>
      <c r="AB40" s="257"/>
      <c r="AC40" s="257"/>
      <c r="AD40" s="257"/>
      <c r="AE40" s="257"/>
    </row>
    <row r="41" spans="1:31" ht="16.5" customHeight="1" x14ac:dyDescent="0.25">
      <c r="A41" s="30"/>
      <c r="B41" s="30"/>
      <c r="C41" s="30"/>
      <c r="D41" s="30"/>
      <c r="E41" s="30"/>
      <c r="F41" s="273" t="s">
        <v>602</v>
      </c>
      <c r="G41" s="30" t="s">
        <v>596</v>
      </c>
      <c r="H41" s="30" t="s">
        <v>550</v>
      </c>
      <c r="I41" s="30" t="s">
        <v>487</v>
      </c>
      <c r="J41" s="30" t="s">
        <v>487</v>
      </c>
      <c r="K41" s="30"/>
      <c r="L41" s="30"/>
      <c r="M41" s="30"/>
      <c r="N41" s="30"/>
      <c r="O41" s="30"/>
      <c r="P41" s="30"/>
      <c r="Q41" s="30"/>
      <c r="R41" s="30" t="s">
        <v>603</v>
      </c>
      <c r="S41" s="30" t="s">
        <v>542</v>
      </c>
      <c r="T41" s="273" t="s">
        <v>479</v>
      </c>
      <c r="U41" s="30" t="s">
        <v>493</v>
      </c>
      <c r="V41" s="30"/>
      <c r="W41" s="257"/>
      <c r="X41" s="257"/>
      <c r="Y41" s="257"/>
      <c r="Z41" s="257"/>
      <c r="AA41" s="257"/>
      <c r="AB41" s="257"/>
      <c r="AC41" s="257"/>
      <c r="AD41" s="257"/>
      <c r="AE41" s="257"/>
    </row>
    <row r="42" spans="1:31" ht="16.5" customHeight="1" x14ac:dyDescent="0.25">
      <c r="A42" s="30"/>
      <c r="B42" s="30"/>
      <c r="C42" s="30"/>
      <c r="D42" s="30"/>
      <c r="E42" s="30"/>
      <c r="F42" s="30" t="s">
        <v>604</v>
      </c>
      <c r="G42" s="30" t="s">
        <v>605</v>
      </c>
      <c r="H42" s="30" t="s">
        <v>557</v>
      </c>
      <c r="I42" s="30" t="s">
        <v>487</v>
      </c>
      <c r="J42" s="30"/>
      <c r="K42" s="30"/>
      <c r="L42" s="30"/>
      <c r="M42" s="30"/>
      <c r="N42" s="30"/>
      <c r="O42" s="30"/>
      <c r="P42" s="30"/>
      <c r="Q42" s="30"/>
      <c r="R42" s="30" t="s">
        <v>606</v>
      </c>
      <c r="S42" s="30" t="s">
        <v>542</v>
      </c>
      <c r="T42" s="273" t="s">
        <v>479</v>
      </c>
      <c r="U42" s="30" t="s">
        <v>493</v>
      </c>
      <c r="V42" s="30"/>
      <c r="W42" s="257"/>
      <c r="X42" s="257"/>
      <c r="Y42" s="257"/>
      <c r="Z42" s="257"/>
      <c r="AA42" s="257"/>
      <c r="AB42" s="257"/>
      <c r="AC42" s="257"/>
      <c r="AD42" s="257"/>
      <c r="AE42" s="257"/>
    </row>
    <row r="43" spans="1:31" ht="16.5" customHeight="1" x14ac:dyDescent="0.25">
      <c r="A43" s="30"/>
      <c r="B43" s="30"/>
      <c r="C43" s="30"/>
      <c r="D43" s="30"/>
      <c r="E43" s="30"/>
      <c r="F43" s="30" t="s">
        <v>603</v>
      </c>
      <c r="G43" s="30" t="s">
        <v>598</v>
      </c>
      <c r="H43" s="30" t="s">
        <v>541</v>
      </c>
      <c r="I43" s="30" t="s">
        <v>487</v>
      </c>
      <c r="J43" s="30"/>
      <c r="K43" s="30"/>
      <c r="L43" s="30"/>
      <c r="M43" s="30"/>
      <c r="N43" s="30"/>
      <c r="O43" s="30"/>
      <c r="P43" s="30"/>
      <c r="Q43" s="30"/>
      <c r="R43" s="30" t="s">
        <v>607</v>
      </c>
      <c r="S43" s="30" t="s">
        <v>542</v>
      </c>
      <c r="T43" s="273" t="s">
        <v>479</v>
      </c>
      <c r="U43" s="30" t="s">
        <v>493</v>
      </c>
      <c r="V43" s="30"/>
      <c r="W43" s="257"/>
      <c r="X43" s="257"/>
      <c r="Y43" s="257"/>
      <c r="Z43" s="257"/>
      <c r="AA43" s="257"/>
      <c r="AB43" s="257"/>
      <c r="AC43" s="257"/>
      <c r="AD43" s="257"/>
    </row>
    <row r="44" spans="1:31" ht="16.5" customHeight="1" x14ac:dyDescent="0.25">
      <c r="A44" s="30"/>
      <c r="B44" s="30"/>
      <c r="C44" s="30"/>
      <c r="D44" s="30"/>
      <c r="E44" s="30"/>
      <c r="F44" s="30" t="s">
        <v>608</v>
      </c>
      <c r="G44" s="30" t="s">
        <v>605</v>
      </c>
      <c r="H44" s="30" t="s">
        <v>557</v>
      </c>
      <c r="I44" s="30" t="s">
        <v>487</v>
      </c>
      <c r="J44" s="30"/>
      <c r="K44" s="30"/>
      <c r="L44" s="30"/>
      <c r="M44" s="30"/>
      <c r="N44" s="30"/>
      <c r="O44" s="30"/>
      <c r="P44" s="30"/>
      <c r="Q44" s="30"/>
      <c r="R44" s="30" t="s">
        <v>609</v>
      </c>
      <c r="S44" s="30" t="s">
        <v>542</v>
      </c>
      <c r="T44" s="273" t="s">
        <v>479</v>
      </c>
      <c r="U44" s="30" t="s">
        <v>493</v>
      </c>
      <c r="V44" s="30"/>
      <c r="W44" s="257"/>
      <c r="X44" s="257"/>
      <c r="Y44" s="257"/>
      <c r="Z44" s="257"/>
      <c r="AA44" s="257"/>
      <c r="AB44" s="257"/>
      <c r="AC44" s="257"/>
      <c r="AD44" s="257"/>
    </row>
    <row r="45" spans="1:31" ht="16.5" customHeight="1" x14ac:dyDescent="0.25">
      <c r="A45" s="30"/>
      <c r="B45" s="30"/>
      <c r="C45" s="30"/>
      <c r="D45" s="30"/>
      <c r="E45" s="30"/>
      <c r="F45" s="273" t="s">
        <v>606</v>
      </c>
      <c r="G45" s="30" t="s">
        <v>596</v>
      </c>
      <c r="H45" s="30" t="s">
        <v>557</v>
      </c>
      <c r="I45" s="30" t="s">
        <v>487</v>
      </c>
      <c r="J45" s="30" t="s">
        <v>487</v>
      </c>
      <c r="K45" s="30"/>
      <c r="L45" s="30"/>
      <c r="M45" s="30"/>
      <c r="N45" s="30"/>
      <c r="O45" s="30"/>
      <c r="P45" s="30"/>
      <c r="Q45" s="30"/>
      <c r="R45" s="30" t="s">
        <v>610</v>
      </c>
      <c r="S45" s="30" t="s">
        <v>542</v>
      </c>
      <c r="T45" s="273" t="s">
        <v>479</v>
      </c>
      <c r="U45" s="30" t="s">
        <v>493</v>
      </c>
      <c r="V45" s="30"/>
      <c r="W45" s="257"/>
      <c r="Z45" s="257"/>
      <c r="AA45" s="257"/>
    </row>
    <row r="46" spans="1:31" ht="16.5" customHeight="1" x14ac:dyDescent="0.25">
      <c r="A46" s="30"/>
      <c r="B46" s="30"/>
      <c r="C46" s="30"/>
      <c r="D46" s="30"/>
      <c r="E46" s="30"/>
      <c r="F46" s="30" t="s">
        <v>611</v>
      </c>
      <c r="G46" s="30" t="s">
        <v>605</v>
      </c>
      <c r="H46" s="30" t="s">
        <v>557</v>
      </c>
      <c r="I46" s="30" t="s">
        <v>487</v>
      </c>
      <c r="J46" s="30"/>
      <c r="K46" s="30"/>
      <c r="L46" s="30"/>
      <c r="M46" s="30"/>
      <c r="N46" s="30"/>
      <c r="O46" s="30"/>
      <c r="P46" s="30"/>
      <c r="Q46" s="30"/>
      <c r="R46" s="30" t="s">
        <v>612</v>
      </c>
      <c r="S46" s="30" t="s">
        <v>542</v>
      </c>
      <c r="T46" s="273" t="s">
        <v>479</v>
      </c>
      <c r="U46" s="30" t="s">
        <v>493</v>
      </c>
      <c r="V46" s="30"/>
      <c r="W46" s="257"/>
      <c r="X46" s="257"/>
      <c r="Y46" s="257"/>
      <c r="Z46" s="257"/>
      <c r="AA46" s="257"/>
    </row>
    <row r="47" spans="1:31" ht="16.5" customHeight="1" x14ac:dyDescent="0.25">
      <c r="A47" s="30"/>
      <c r="B47" s="30"/>
      <c r="C47" s="30"/>
      <c r="D47" s="30"/>
      <c r="E47" s="30"/>
      <c r="F47" s="30" t="s">
        <v>613</v>
      </c>
      <c r="G47" s="30" t="s">
        <v>605</v>
      </c>
      <c r="H47" s="30" t="s">
        <v>557</v>
      </c>
      <c r="I47" s="30" t="s">
        <v>487</v>
      </c>
      <c r="J47" s="30"/>
      <c r="K47" s="30"/>
      <c r="L47" s="30"/>
      <c r="M47" s="30"/>
      <c r="N47" s="30"/>
      <c r="O47" s="30"/>
      <c r="P47" s="30"/>
      <c r="Q47" s="30"/>
      <c r="R47" s="30" t="s">
        <v>614</v>
      </c>
      <c r="S47" s="30" t="s">
        <v>542</v>
      </c>
      <c r="T47" s="273" t="s">
        <v>479</v>
      </c>
      <c r="U47" s="30" t="s">
        <v>493</v>
      </c>
      <c r="V47" s="30"/>
      <c r="W47" s="257"/>
      <c r="X47" s="257"/>
      <c r="Y47" s="257"/>
      <c r="Z47" s="257" t="s">
        <v>144</v>
      </c>
      <c r="AA47" s="257"/>
    </row>
    <row r="48" spans="1:31" ht="16.5" customHeight="1" x14ac:dyDescent="0.25">
      <c r="A48" s="30"/>
      <c r="B48" s="30"/>
      <c r="C48" s="30"/>
      <c r="D48" s="30"/>
      <c r="E48" s="30"/>
      <c r="F48" s="273" t="s">
        <v>607</v>
      </c>
      <c r="G48" s="30" t="s">
        <v>596</v>
      </c>
      <c r="H48" s="30" t="s">
        <v>559</v>
      </c>
      <c r="I48" s="270" t="s">
        <v>505</v>
      </c>
      <c r="J48" s="30" t="s">
        <v>487</v>
      </c>
      <c r="K48" s="30"/>
      <c r="L48" s="30"/>
      <c r="M48" s="30"/>
      <c r="N48" s="30"/>
      <c r="O48" s="30"/>
      <c r="P48" s="30"/>
      <c r="Q48" s="30"/>
      <c r="R48" s="273" t="s">
        <v>615</v>
      </c>
      <c r="S48" s="295" t="s">
        <v>491</v>
      </c>
      <c r="T48" s="273" t="s">
        <v>479</v>
      </c>
      <c r="U48" s="30" t="s">
        <v>493</v>
      </c>
      <c r="V48" s="30"/>
      <c r="W48" s="257"/>
      <c r="X48" s="257"/>
      <c r="Y48" s="257"/>
      <c r="Z48" s="257" t="s">
        <v>144</v>
      </c>
      <c r="AA48" s="257"/>
    </row>
    <row r="49" spans="1:27" ht="16.5" customHeight="1" x14ac:dyDescent="0.25">
      <c r="A49" s="30"/>
      <c r="B49" s="30"/>
      <c r="C49" s="30"/>
      <c r="D49" s="30"/>
      <c r="E49" s="30"/>
      <c r="F49" s="273" t="s">
        <v>609</v>
      </c>
      <c r="G49" s="30" t="s">
        <v>596</v>
      </c>
      <c r="H49" s="30" t="s">
        <v>559</v>
      </c>
      <c r="I49" s="270" t="s">
        <v>505</v>
      </c>
      <c r="J49" s="30" t="s">
        <v>487</v>
      </c>
      <c r="K49" s="30"/>
      <c r="L49" s="30"/>
      <c r="M49" s="30"/>
      <c r="N49" s="30"/>
      <c r="O49" s="30"/>
      <c r="P49" s="30"/>
      <c r="Q49" s="30"/>
      <c r="R49" s="30" t="s">
        <v>616</v>
      </c>
      <c r="S49" s="30" t="s">
        <v>542</v>
      </c>
      <c r="T49" s="273" t="s">
        <v>479</v>
      </c>
      <c r="U49" s="30" t="s">
        <v>493</v>
      </c>
      <c r="V49" s="30"/>
      <c r="W49" s="257"/>
      <c r="X49" s="257"/>
      <c r="Y49" s="257"/>
      <c r="Z49" s="257" t="s">
        <v>144</v>
      </c>
      <c r="AA49" s="257"/>
    </row>
    <row r="50" spans="1:27" ht="16.5" customHeight="1" x14ac:dyDescent="0.25">
      <c r="A50" s="30"/>
      <c r="B50" s="30"/>
      <c r="C50" s="30"/>
      <c r="D50" s="30"/>
      <c r="E50" s="30"/>
      <c r="F50" s="273" t="s">
        <v>610</v>
      </c>
      <c r="G50" s="30" t="s">
        <v>596</v>
      </c>
      <c r="H50" s="30" t="s">
        <v>568</v>
      </c>
      <c r="I50" s="270" t="s">
        <v>505</v>
      </c>
      <c r="J50" s="30" t="s">
        <v>487</v>
      </c>
      <c r="K50" s="30"/>
      <c r="L50" s="30"/>
      <c r="M50" s="30"/>
      <c r="N50" s="30"/>
      <c r="O50" s="30"/>
      <c r="P50" s="30"/>
      <c r="Q50" s="30"/>
      <c r="R50" s="30" t="s">
        <v>617</v>
      </c>
      <c r="S50" s="30" t="s">
        <v>542</v>
      </c>
      <c r="T50" s="273" t="s">
        <v>479</v>
      </c>
      <c r="U50" s="30" t="s">
        <v>493</v>
      </c>
      <c r="V50" s="30"/>
      <c r="W50" s="257"/>
      <c r="X50" s="257"/>
      <c r="Y50" s="257"/>
      <c r="Z50" s="257" t="s">
        <v>144</v>
      </c>
    </row>
    <row r="51" spans="1:27" ht="16.5" customHeight="1" x14ac:dyDescent="0.25">
      <c r="A51" s="30"/>
      <c r="B51" s="30"/>
      <c r="C51" s="30"/>
      <c r="D51" s="30"/>
      <c r="E51" s="30"/>
      <c r="F51" s="273" t="s">
        <v>612</v>
      </c>
      <c r="G51" s="30" t="s">
        <v>596</v>
      </c>
      <c r="H51" s="30" t="s">
        <v>559</v>
      </c>
      <c r="I51" s="30" t="s">
        <v>487</v>
      </c>
      <c r="J51" s="30" t="s">
        <v>487</v>
      </c>
      <c r="K51" s="30"/>
      <c r="L51" s="30"/>
      <c r="M51" s="30"/>
      <c r="N51" s="30"/>
      <c r="O51" s="30"/>
      <c r="P51" s="30"/>
      <c r="Q51" s="30"/>
      <c r="R51" s="30" t="s">
        <v>618</v>
      </c>
      <c r="S51" s="30" t="s">
        <v>542</v>
      </c>
      <c r="T51" s="273" t="s">
        <v>479</v>
      </c>
      <c r="U51" s="30" t="s">
        <v>493</v>
      </c>
      <c r="V51" s="30"/>
      <c r="W51" s="257"/>
      <c r="X51" s="257"/>
      <c r="Y51" s="257"/>
      <c r="Z51" s="257" t="s">
        <v>144</v>
      </c>
      <c r="AA51" s="257"/>
    </row>
    <row r="52" spans="1:27" ht="16.5" customHeight="1" x14ac:dyDescent="0.25">
      <c r="A52" s="30"/>
      <c r="B52" s="30"/>
      <c r="C52" s="30"/>
      <c r="D52" s="30"/>
      <c r="E52" s="30"/>
      <c r="F52" s="273" t="s">
        <v>614</v>
      </c>
      <c r="G52" s="30" t="s">
        <v>596</v>
      </c>
      <c r="H52" s="30" t="s">
        <v>559</v>
      </c>
      <c r="I52" s="270" t="s">
        <v>505</v>
      </c>
      <c r="J52" s="30" t="s">
        <v>487</v>
      </c>
      <c r="K52" s="30"/>
      <c r="L52" s="30"/>
      <c r="M52" s="30"/>
      <c r="N52" s="30"/>
      <c r="O52" s="30"/>
      <c r="P52" s="30"/>
      <c r="Q52" s="30"/>
      <c r="R52" s="30" t="s">
        <v>619</v>
      </c>
      <c r="S52" s="30" t="s">
        <v>542</v>
      </c>
      <c r="T52" s="273" t="s">
        <v>479</v>
      </c>
      <c r="U52" s="30" t="s">
        <v>493</v>
      </c>
      <c r="V52" s="30"/>
      <c r="W52" s="257"/>
      <c r="X52" s="257"/>
      <c r="Y52" s="257"/>
      <c r="Z52" s="257" t="s">
        <v>144</v>
      </c>
      <c r="AA52" s="257"/>
    </row>
    <row r="53" spans="1:27" ht="16.5" customHeight="1" x14ac:dyDescent="0.25">
      <c r="A53" s="30"/>
      <c r="B53" s="30"/>
      <c r="C53" s="30"/>
      <c r="D53" s="30"/>
      <c r="E53" s="30"/>
      <c r="F53" s="273" t="s">
        <v>615</v>
      </c>
      <c r="G53" s="273" t="s">
        <v>596</v>
      </c>
      <c r="H53" s="273" t="s">
        <v>557</v>
      </c>
      <c r="I53" s="30" t="s">
        <v>487</v>
      </c>
      <c r="J53" s="30" t="s">
        <v>487</v>
      </c>
      <c r="K53" s="30"/>
      <c r="L53" s="30"/>
      <c r="M53" s="30"/>
      <c r="N53" s="30"/>
      <c r="O53" s="30"/>
      <c r="P53" s="30"/>
      <c r="Q53" s="30"/>
      <c r="R53" s="30" t="s">
        <v>393</v>
      </c>
      <c r="S53" s="30" t="s">
        <v>542</v>
      </c>
      <c r="T53" s="273" t="s">
        <v>479</v>
      </c>
      <c r="U53" s="30" t="s">
        <v>493</v>
      </c>
      <c r="V53" s="30"/>
      <c r="W53" s="257"/>
      <c r="X53" s="257"/>
      <c r="Y53" s="257"/>
      <c r="Z53" s="257" t="s">
        <v>144</v>
      </c>
      <c r="AA53" s="257"/>
    </row>
    <row r="54" spans="1:27" ht="16.5" customHeight="1" x14ac:dyDescent="0.25">
      <c r="A54" s="30"/>
      <c r="B54" s="30"/>
      <c r="C54" s="30"/>
      <c r="D54" s="30"/>
      <c r="E54" s="30"/>
      <c r="F54" s="273" t="s">
        <v>616</v>
      </c>
      <c r="G54" s="30" t="s">
        <v>596</v>
      </c>
      <c r="H54" s="30" t="s">
        <v>547</v>
      </c>
      <c r="I54" s="270" t="s">
        <v>505</v>
      </c>
      <c r="J54" s="30" t="s">
        <v>487</v>
      </c>
      <c r="K54" s="30"/>
      <c r="L54" s="30"/>
      <c r="M54" s="30"/>
      <c r="N54" s="30"/>
      <c r="O54" s="30"/>
      <c r="P54" s="30"/>
      <c r="Q54" s="30"/>
      <c r="R54" s="30" t="s">
        <v>394</v>
      </c>
      <c r="S54" s="30" t="s">
        <v>542</v>
      </c>
      <c r="T54" s="273" t="s">
        <v>479</v>
      </c>
      <c r="U54" s="30" t="s">
        <v>493</v>
      </c>
      <c r="V54" s="30"/>
      <c r="W54" s="257"/>
      <c r="X54" s="257"/>
      <c r="Y54" s="257"/>
      <c r="Z54" s="257" t="s">
        <v>620</v>
      </c>
      <c r="AA54" s="257"/>
    </row>
    <row r="55" spans="1:27" ht="16.5" customHeight="1" x14ac:dyDescent="0.25">
      <c r="A55" s="30"/>
      <c r="B55" s="30"/>
      <c r="C55" s="30"/>
      <c r="D55" s="30"/>
      <c r="E55" s="30"/>
      <c r="F55" s="30" t="s">
        <v>617</v>
      </c>
      <c r="G55" s="30" t="s">
        <v>596</v>
      </c>
      <c r="H55" s="30" t="s">
        <v>496</v>
      </c>
      <c r="I55" s="270" t="s">
        <v>505</v>
      </c>
      <c r="J55" s="30"/>
      <c r="K55" s="30"/>
      <c r="L55" s="30"/>
      <c r="M55" s="30"/>
      <c r="N55" s="30"/>
      <c r="O55" s="30"/>
      <c r="P55" s="30"/>
      <c r="Q55" s="30"/>
      <c r="R55" s="30" t="s">
        <v>395</v>
      </c>
      <c r="S55" s="30" t="s">
        <v>542</v>
      </c>
      <c r="T55" s="273" t="s">
        <v>479</v>
      </c>
      <c r="U55" s="30" t="s">
        <v>493</v>
      </c>
      <c r="V55" s="30"/>
      <c r="W55" s="257"/>
      <c r="X55" s="257"/>
      <c r="Y55" s="257"/>
      <c r="Z55" s="257"/>
      <c r="AA55" s="257"/>
    </row>
    <row r="56" spans="1:27" ht="16.5" customHeight="1" x14ac:dyDescent="0.25">
      <c r="A56" s="30"/>
      <c r="B56" s="30"/>
      <c r="C56" s="30"/>
      <c r="D56" s="30"/>
      <c r="E56" s="30"/>
      <c r="F56" s="30" t="s">
        <v>618</v>
      </c>
      <c r="G56" s="30" t="s">
        <v>596</v>
      </c>
      <c r="H56" s="30" t="s">
        <v>555</v>
      </c>
      <c r="I56" s="270" t="s">
        <v>505</v>
      </c>
      <c r="J56" s="30"/>
      <c r="K56" s="30"/>
      <c r="L56" s="30"/>
      <c r="M56" s="30"/>
      <c r="N56" s="30"/>
      <c r="O56" s="30"/>
      <c r="P56" s="30"/>
      <c r="Q56" s="30"/>
      <c r="R56" s="30" t="s">
        <v>621</v>
      </c>
      <c r="S56" s="30" t="s">
        <v>542</v>
      </c>
      <c r="T56" s="273" t="s">
        <v>479</v>
      </c>
      <c r="U56" s="30" t="s">
        <v>493</v>
      </c>
      <c r="V56" s="30"/>
      <c r="W56" s="257"/>
      <c r="X56" s="257"/>
      <c r="Y56" s="257"/>
      <c r="Z56" s="257"/>
      <c r="AA56" s="257"/>
    </row>
    <row r="57" spans="1:27" ht="16.5" customHeight="1" x14ac:dyDescent="0.25">
      <c r="A57" s="30"/>
      <c r="B57" s="30"/>
      <c r="C57" s="30"/>
      <c r="D57" s="30"/>
      <c r="E57" s="30"/>
      <c r="F57" s="273" t="s">
        <v>619</v>
      </c>
      <c r="G57" s="30" t="s">
        <v>596</v>
      </c>
      <c r="H57" s="30" t="s">
        <v>559</v>
      </c>
      <c r="I57" s="270" t="s">
        <v>505</v>
      </c>
      <c r="J57" s="30" t="s">
        <v>487</v>
      </c>
      <c r="K57" s="30"/>
      <c r="L57" s="30"/>
      <c r="M57" s="30"/>
      <c r="N57" s="30"/>
      <c r="O57" s="30"/>
      <c r="P57" s="30"/>
      <c r="Q57" s="30"/>
      <c r="R57" s="30" t="s">
        <v>622</v>
      </c>
      <c r="S57" s="30" t="s">
        <v>542</v>
      </c>
      <c r="T57" s="273" t="s">
        <v>479</v>
      </c>
      <c r="U57" s="30" t="s">
        <v>493</v>
      </c>
      <c r="V57" s="30"/>
      <c r="W57" s="257"/>
      <c r="X57" s="257"/>
      <c r="Y57" s="257"/>
      <c r="Z57" s="257"/>
      <c r="AA57" s="257"/>
    </row>
    <row r="58" spans="1:27" ht="16.5" customHeight="1" x14ac:dyDescent="0.25">
      <c r="A58" s="30"/>
      <c r="B58" s="30"/>
      <c r="C58" s="30"/>
      <c r="D58" s="30"/>
      <c r="E58" s="30"/>
      <c r="F58" s="273" t="s">
        <v>393</v>
      </c>
      <c r="G58" s="30" t="s">
        <v>579</v>
      </c>
      <c r="H58" s="30" t="s">
        <v>541</v>
      </c>
      <c r="I58" s="270" t="s">
        <v>505</v>
      </c>
      <c r="J58" s="30" t="s">
        <v>487</v>
      </c>
      <c r="K58" s="30"/>
      <c r="L58" s="30"/>
      <c r="M58" s="30"/>
      <c r="N58" s="30"/>
      <c r="O58" s="30"/>
      <c r="P58" s="30"/>
      <c r="Q58" s="30"/>
      <c r="R58" s="30" t="s">
        <v>623</v>
      </c>
      <c r="S58" s="30" t="s">
        <v>624</v>
      </c>
      <c r="T58" s="273" t="s">
        <v>479</v>
      </c>
      <c r="U58" s="30" t="s">
        <v>493</v>
      </c>
      <c r="V58" s="30"/>
      <c r="W58" s="257"/>
      <c r="X58" s="257"/>
      <c r="Y58" s="257"/>
      <c r="Z58" s="257"/>
      <c r="AA58" s="257"/>
    </row>
    <row r="59" spans="1:27" ht="16.5" customHeight="1" x14ac:dyDescent="0.25">
      <c r="A59" s="30"/>
      <c r="B59" s="30"/>
      <c r="C59" s="30"/>
      <c r="D59" s="30"/>
      <c r="E59" s="30"/>
      <c r="F59" s="273" t="s">
        <v>394</v>
      </c>
      <c r="G59" s="30" t="s">
        <v>579</v>
      </c>
      <c r="H59" s="30" t="s">
        <v>550</v>
      </c>
      <c r="I59" s="270" t="s">
        <v>505</v>
      </c>
      <c r="J59" s="30" t="s">
        <v>487</v>
      </c>
      <c r="K59" s="30"/>
      <c r="L59" s="30"/>
      <c r="M59" s="30"/>
      <c r="N59" s="30"/>
      <c r="O59" s="30"/>
      <c r="P59" s="30"/>
      <c r="Q59" s="30"/>
      <c r="R59" s="288" t="s">
        <v>625</v>
      </c>
      <c r="S59" s="30" t="s">
        <v>542</v>
      </c>
      <c r="T59" s="273" t="s">
        <v>479</v>
      </c>
      <c r="U59" s="30" t="s">
        <v>493</v>
      </c>
      <c r="V59" s="30"/>
      <c r="W59" s="257"/>
      <c r="X59" s="257"/>
      <c r="Y59" s="257"/>
      <c r="Z59" s="257"/>
      <c r="AA59" s="257"/>
    </row>
    <row r="60" spans="1:27" ht="16.5" customHeight="1" x14ac:dyDescent="0.25">
      <c r="A60" s="30"/>
      <c r="B60" s="30"/>
      <c r="C60" s="30"/>
      <c r="D60" s="30"/>
      <c r="E60" s="30"/>
      <c r="F60" s="30" t="s">
        <v>395</v>
      </c>
      <c r="G60" s="30" t="s">
        <v>579</v>
      </c>
      <c r="H60" s="30" t="s">
        <v>119</v>
      </c>
      <c r="I60" s="270" t="s">
        <v>505</v>
      </c>
      <c r="J60" s="30"/>
      <c r="K60" s="30"/>
      <c r="L60" s="30"/>
      <c r="M60" s="30"/>
      <c r="N60" s="30"/>
      <c r="O60" s="30"/>
      <c r="P60" s="30"/>
      <c r="Q60" s="30"/>
      <c r="R60" s="30" t="s">
        <v>400</v>
      </c>
      <c r="S60" s="30" t="s">
        <v>542</v>
      </c>
      <c r="T60" s="273" t="s">
        <v>479</v>
      </c>
      <c r="U60" s="30" t="s">
        <v>493</v>
      </c>
      <c r="V60" s="30"/>
      <c r="W60" s="257"/>
      <c r="X60" s="257"/>
      <c r="Y60" s="257"/>
      <c r="Z60" s="257"/>
      <c r="AA60" s="257"/>
    </row>
    <row r="61" spans="1:27" ht="16.5" customHeight="1" x14ac:dyDescent="0.25">
      <c r="A61" s="30"/>
      <c r="B61" s="30"/>
      <c r="C61" s="30"/>
      <c r="D61" s="30"/>
      <c r="E61" s="30"/>
      <c r="F61" s="273" t="s">
        <v>621</v>
      </c>
      <c r="G61" s="30" t="s">
        <v>596</v>
      </c>
      <c r="H61" s="30" t="s">
        <v>557</v>
      </c>
      <c r="I61" s="270" t="s">
        <v>505</v>
      </c>
      <c r="J61" s="30" t="s">
        <v>487</v>
      </c>
      <c r="K61" s="30"/>
      <c r="L61" s="30"/>
      <c r="M61" s="30"/>
      <c r="N61" s="30"/>
      <c r="O61" s="30"/>
      <c r="P61" s="30"/>
      <c r="Q61" s="30"/>
      <c r="R61" s="30" t="s">
        <v>401</v>
      </c>
      <c r="S61" s="30" t="s">
        <v>542</v>
      </c>
      <c r="T61" s="273" t="s">
        <v>479</v>
      </c>
      <c r="U61" s="30" t="s">
        <v>493</v>
      </c>
      <c r="V61" s="30"/>
      <c r="W61" s="257"/>
      <c r="X61" s="257"/>
      <c r="Y61" t="s">
        <v>484</v>
      </c>
      <c r="Z61" t="s">
        <v>144</v>
      </c>
      <c r="AA61" t="s">
        <v>492</v>
      </c>
    </row>
    <row r="62" spans="1:27" ht="16.5" customHeight="1" x14ac:dyDescent="0.25">
      <c r="A62" s="30"/>
      <c r="B62" s="30"/>
      <c r="C62" s="30"/>
      <c r="D62" s="30"/>
      <c r="E62" s="30"/>
      <c r="F62" s="273" t="s">
        <v>622</v>
      </c>
      <c r="G62" s="30" t="s">
        <v>626</v>
      </c>
      <c r="H62" s="30" t="s">
        <v>547</v>
      </c>
      <c r="I62" s="30" t="s">
        <v>487</v>
      </c>
      <c r="J62" s="30" t="s">
        <v>487</v>
      </c>
      <c r="K62" s="30"/>
      <c r="L62" s="30"/>
      <c r="M62" s="30"/>
      <c r="N62" s="30"/>
      <c r="O62" s="30"/>
      <c r="P62" s="30"/>
      <c r="Q62" s="30"/>
      <c r="R62" s="30" t="s">
        <v>627</v>
      </c>
      <c r="S62" s="296" t="s">
        <v>624</v>
      </c>
      <c r="T62" s="273" t="s">
        <v>479</v>
      </c>
      <c r="U62" s="30" t="s">
        <v>493</v>
      </c>
      <c r="V62" s="30"/>
      <c r="W62" s="257"/>
      <c r="X62" s="257"/>
      <c r="Y62" s="297" t="s">
        <v>503</v>
      </c>
      <c r="Z62" s="298" t="s">
        <v>144</v>
      </c>
      <c r="AA62" s="299" t="s">
        <v>508</v>
      </c>
    </row>
    <row r="63" spans="1:27" ht="16.5" customHeight="1" x14ac:dyDescent="0.25">
      <c r="A63" s="30"/>
      <c r="B63" s="30"/>
      <c r="C63" s="30"/>
      <c r="D63" s="30"/>
      <c r="E63" s="30"/>
      <c r="F63" s="30" t="s">
        <v>623</v>
      </c>
      <c r="G63" s="30" t="s">
        <v>628</v>
      </c>
      <c r="H63" s="30" t="s">
        <v>541</v>
      </c>
      <c r="I63" s="30" t="s">
        <v>487</v>
      </c>
      <c r="J63" s="30"/>
      <c r="K63" s="30"/>
      <c r="L63" s="30"/>
      <c r="M63" s="30"/>
      <c r="N63" s="30"/>
      <c r="O63" s="30"/>
      <c r="P63" s="30"/>
      <c r="Q63" s="30"/>
      <c r="R63" s="30" t="s">
        <v>403</v>
      </c>
      <c r="S63" s="30" t="s">
        <v>624</v>
      </c>
      <c r="T63" s="273" t="s">
        <v>479</v>
      </c>
      <c r="U63" s="30" t="s">
        <v>493</v>
      </c>
      <c r="V63" s="30"/>
      <c r="W63" s="257"/>
      <c r="X63" s="257"/>
      <c r="Y63" s="282" t="s">
        <v>546</v>
      </c>
      <c r="Z63" s="300" t="s">
        <v>144</v>
      </c>
      <c r="AA63" s="299" t="s">
        <v>479</v>
      </c>
    </row>
    <row r="64" spans="1:27" ht="16.5" customHeight="1" x14ac:dyDescent="0.25">
      <c r="A64" s="30"/>
      <c r="B64" s="30"/>
      <c r="C64" s="30"/>
      <c r="D64" s="30"/>
      <c r="E64" s="30"/>
      <c r="F64" s="30" t="s">
        <v>625</v>
      </c>
      <c r="G64" s="30" t="s">
        <v>628</v>
      </c>
      <c r="H64" s="30" t="s">
        <v>559</v>
      </c>
      <c r="I64" s="30" t="s">
        <v>487</v>
      </c>
      <c r="J64" s="30"/>
      <c r="K64" s="30"/>
      <c r="L64" s="30"/>
      <c r="M64" s="30"/>
      <c r="N64" s="30"/>
      <c r="O64" s="30"/>
      <c r="P64" s="30"/>
      <c r="Q64" s="30"/>
      <c r="R64" s="30" t="s">
        <v>404</v>
      </c>
      <c r="S64" s="30" t="s">
        <v>542</v>
      </c>
      <c r="T64" s="273" t="s">
        <v>479</v>
      </c>
      <c r="U64" s="30" t="s">
        <v>493</v>
      </c>
      <c r="V64" s="30"/>
      <c r="W64" s="257"/>
      <c r="X64" s="257"/>
      <c r="Y64" s="282" t="s">
        <v>565</v>
      </c>
      <c r="Z64" s="300" t="s">
        <v>144</v>
      </c>
      <c r="AA64" s="299" t="s">
        <v>516</v>
      </c>
    </row>
    <row r="65" spans="1:27" ht="16.5" customHeight="1" x14ac:dyDescent="0.25">
      <c r="A65" s="30"/>
      <c r="B65" s="30"/>
      <c r="C65" s="30"/>
      <c r="D65" s="30"/>
      <c r="E65" s="30"/>
      <c r="F65" s="30" t="s">
        <v>400</v>
      </c>
      <c r="G65" s="30" t="s">
        <v>628</v>
      </c>
      <c r="H65" s="30" t="s">
        <v>550</v>
      </c>
      <c r="I65" s="30" t="s">
        <v>487</v>
      </c>
      <c r="J65" s="30"/>
      <c r="K65" s="30"/>
      <c r="L65" s="30"/>
      <c r="M65" s="30"/>
      <c r="N65" s="30"/>
      <c r="O65" s="30"/>
      <c r="P65" s="30"/>
      <c r="Q65" s="30"/>
      <c r="R65" s="30" t="s">
        <v>629</v>
      </c>
      <c r="S65" s="30" t="s">
        <v>624</v>
      </c>
      <c r="T65" s="273" t="s">
        <v>516</v>
      </c>
      <c r="U65" s="30" t="s">
        <v>509</v>
      </c>
      <c r="V65" s="30"/>
      <c r="W65" s="257"/>
      <c r="X65" s="257"/>
      <c r="Y65" t="s">
        <v>413</v>
      </c>
      <c r="Z65" t="s">
        <v>144</v>
      </c>
      <c r="AA65" t="s">
        <v>480</v>
      </c>
    </row>
    <row r="66" spans="1:27" ht="16.5" customHeight="1" x14ac:dyDescent="0.25">
      <c r="A66" s="30"/>
      <c r="B66" s="30"/>
      <c r="C66" s="30"/>
      <c r="D66" s="30"/>
      <c r="E66" s="30"/>
      <c r="F66" s="30" t="s">
        <v>401</v>
      </c>
      <c r="G66" s="30" t="s">
        <v>628</v>
      </c>
      <c r="H66" s="30" t="s">
        <v>557</v>
      </c>
      <c r="I66" s="30" t="s">
        <v>487</v>
      </c>
      <c r="J66" s="30"/>
      <c r="K66" s="30"/>
      <c r="L66" s="30"/>
      <c r="M66" s="30"/>
      <c r="N66" s="30"/>
      <c r="O66" s="30"/>
      <c r="P66" s="30"/>
      <c r="Q66" s="30"/>
      <c r="R66" s="30" t="s">
        <v>120</v>
      </c>
      <c r="S66" s="30" t="s">
        <v>630</v>
      </c>
      <c r="T66" s="273" t="s">
        <v>631</v>
      </c>
      <c r="U66" s="30" t="s">
        <v>509</v>
      </c>
      <c r="V66" s="30"/>
      <c r="W66" s="257"/>
      <c r="X66" s="257"/>
      <c r="Y66" s="257" t="s">
        <v>416</v>
      </c>
      <c r="Z66" s="257" t="s">
        <v>144</v>
      </c>
      <c r="AA66" s="283" t="s">
        <v>481</v>
      </c>
    </row>
    <row r="67" spans="1:27" ht="16.5" customHeight="1" x14ac:dyDescent="0.25">
      <c r="A67" s="30"/>
      <c r="B67" s="30"/>
      <c r="C67" s="30"/>
      <c r="D67" s="30"/>
      <c r="E67" s="30"/>
      <c r="F67" s="30" t="s">
        <v>627</v>
      </c>
      <c r="G67" s="30" t="s">
        <v>600</v>
      </c>
      <c r="H67" s="30" t="s">
        <v>119</v>
      </c>
      <c r="I67" s="30" t="s">
        <v>487</v>
      </c>
      <c r="J67" s="30"/>
      <c r="K67" s="30"/>
      <c r="L67" s="30"/>
      <c r="M67" s="30"/>
      <c r="N67" s="30"/>
      <c r="O67" s="30"/>
      <c r="P67" s="30"/>
      <c r="Q67" s="30"/>
      <c r="R67" s="30" t="s">
        <v>632</v>
      </c>
      <c r="S67" s="30" t="s">
        <v>491</v>
      </c>
      <c r="T67" s="264" t="s">
        <v>492</v>
      </c>
      <c r="U67" s="30" t="s">
        <v>493</v>
      </c>
      <c r="V67" s="30"/>
      <c r="W67" s="257"/>
      <c r="X67" s="257"/>
      <c r="Y67" s="257" t="s">
        <v>431</v>
      </c>
      <c r="Z67" s="257" t="s">
        <v>144</v>
      </c>
      <c r="AA67" s="283" t="s">
        <v>631</v>
      </c>
    </row>
    <row r="68" spans="1:27" ht="16.5" customHeight="1" x14ac:dyDescent="0.25">
      <c r="A68" s="30"/>
      <c r="B68" s="30"/>
      <c r="C68" s="30"/>
      <c r="D68" s="30"/>
      <c r="E68" s="30"/>
      <c r="F68" s="30" t="s">
        <v>403</v>
      </c>
      <c r="G68" s="30" t="s">
        <v>628</v>
      </c>
      <c r="H68" s="30" t="s">
        <v>119</v>
      </c>
      <c r="I68" s="30" t="s">
        <v>487</v>
      </c>
      <c r="J68" s="30"/>
      <c r="K68" s="30"/>
      <c r="L68" s="30"/>
      <c r="M68" s="30"/>
      <c r="N68" s="30"/>
      <c r="O68" s="30"/>
      <c r="P68" s="30"/>
      <c r="Q68" s="30"/>
      <c r="R68" s="30" t="s">
        <v>406</v>
      </c>
      <c r="S68" s="30" t="s">
        <v>630</v>
      </c>
      <c r="T68" s="273" t="s">
        <v>631</v>
      </c>
      <c r="U68" s="30" t="s">
        <v>509</v>
      </c>
      <c r="V68" s="30"/>
      <c r="W68" s="257"/>
      <c r="X68" s="257"/>
      <c r="Y68" t="s">
        <v>407</v>
      </c>
      <c r="Z68" t="s">
        <v>144</v>
      </c>
      <c r="AA68" t="s">
        <v>482</v>
      </c>
    </row>
    <row r="69" spans="1:27" ht="16.5" customHeight="1" x14ac:dyDescent="0.25">
      <c r="A69" s="30"/>
      <c r="B69" s="30"/>
      <c r="C69" s="30"/>
      <c r="D69" s="30"/>
      <c r="E69" s="30"/>
      <c r="F69" s="30" t="s">
        <v>404</v>
      </c>
      <c r="G69" s="30" t="s">
        <v>628</v>
      </c>
      <c r="H69" s="30" t="s">
        <v>550</v>
      </c>
      <c r="I69" s="30" t="s">
        <v>487</v>
      </c>
      <c r="J69" s="30"/>
      <c r="K69" s="30"/>
      <c r="L69" s="30"/>
      <c r="M69" s="30"/>
      <c r="N69" s="30"/>
      <c r="O69" s="30"/>
      <c r="P69" s="30"/>
      <c r="Q69" s="30"/>
      <c r="R69" s="30" t="s">
        <v>407</v>
      </c>
      <c r="S69" s="30" t="s">
        <v>630</v>
      </c>
      <c r="T69" s="30" t="s">
        <v>482</v>
      </c>
      <c r="U69" s="30" t="s">
        <v>509</v>
      </c>
      <c r="V69" s="30"/>
      <c r="W69" s="257"/>
      <c r="X69" s="257"/>
      <c r="Y69" s="257"/>
      <c r="Z69" s="257"/>
      <c r="AA69" s="257"/>
    </row>
    <row r="70" spans="1:27" ht="16.5" customHeight="1" x14ac:dyDescent="0.25">
      <c r="A70" s="30"/>
      <c r="B70" s="30"/>
      <c r="C70" s="30"/>
      <c r="D70" s="30"/>
      <c r="E70" s="30"/>
      <c r="F70" s="301" t="s">
        <v>629</v>
      </c>
      <c r="G70" s="30" t="s">
        <v>633</v>
      </c>
      <c r="H70" s="30" t="s">
        <v>550</v>
      </c>
      <c r="I70" s="30" t="s">
        <v>487</v>
      </c>
      <c r="J70" s="30"/>
      <c r="K70" s="30"/>
      <c r="L70" s="30"/>
      <c r="M70" s="30"/>
      <c r="N70" s="30"/>
      <c r="O70" s="30"/>
      <c r="P70" s="30"/>
      <c r="Q70" s="30"/>
      <c r="R70" s="30" t="s">
        <v>634</v>
      </c>
      <c r="S70" s="30" t="s">
        <v>491</v>
      </c>
      <c r="T70" s="264" t="s">
        <v>492</v>
      </c>
      <c r="U70" s="30" t="s">
        <v>493</v>
      </c>
      <c r="V70" s="30"/>
      <c r="W70" s="257"/>
      <c r="X70" s="257"/>
      <c r="Y70" s="257"/>
      <c r="Z70" s="257"/>
      <c r="AA70" s="257"/>
    </row>
    <row r="71" spans="1:27" ht="16.5" customHeight="1" x14ac:dyDescent="0.25">
      <c r="A71" s="30"/>
      <c r="B71" s="30"/>
      <c r="C71" s="30"/>
      <c r="D71" s="30"/>
      <c r="E71" s="30"/>
      <c r="F71" s="30" t="s">
        <v>120</v>
      </c>
      <c r="G71" s="30" t="s">
        <v>635</v>
      </c>
      <c r="H71" s="30" t="s">
        <v>119</v>
      </c>
      <c r="I71" s="30" t="s">
        <v>487</v>
      </c>
      <c r="J71" s="30"/>
      <c r="K71" s="30"/>
      <c r="L71" s="30"/>
      <c r="M71" s="30"/>
      <c r="N71" s="30"/>
      <c r="O71" s="30"/>
      <c r="P71" s="30"/>
      <c r="Q71" s="30"/>
      <c r="R71" s="30" t="s">
        <v>409</v>
      </c>
      <c r="S71" s="30" t="s">
        <v>636</v>
      </c>
      <c r="T71" s="273" t="s">
        <v>479</v>
      </c>
      <c r="U71" s="30" t="s">
        <v>493</v>
      </c>
      <c r="V71" s="30"/>
      <c r="W71" s="257"/>
      <c r="X71" s="257"/>
      <c r="Y71" s="257"/>
      <c r="Z71" s="257"/>
      <c r="AA71" s="257"/>
    </row>
    <row r="72" spans="1:27" ht="16.5" customHeight="1" x14ac:dyDescent="0.25">
      <c r="A72" s="30"/>
      <c r="B72" s="30"/>
      <c r="C72" s="30"/>
      <c r="D72" s="30"/>
      <c r="E72" s="30"/>
      <c r="F72" s="30" t="s">
        <v>632</v>
      </c>
      <c r="G72" s="30" t="s">
        <v>485</v>
      </c>
      <c r="H72" s="30" t="s">
        <v>530</v>
      </c>
      <c r="I72" s="30" t="s">
        <v>487</v>
      </c>
      <c r="J72" s="30"/>
      <c r="K72" s="30"/>
      <c r="L72" s="30"/>
      <c r="M72" s="30"/>
      <c r="N72" s="30"/>
      <c r="O72" s="30"/>
      <c r="P72" s="30"/>
      <c r="Q72" s="30"/>
      <c r="R72" s="30" t="s">
        <v>410</v>
      </c>
      <c r="S72" s="30" t="s">
        <v>636</v>
      </c>
      <c r="T72" s="273" t="s">
        <v>479</v>
      </c>
      <c r="U72" s="30" t="s">
        <v>493</v>
      </c>
      <c r="V72" s="30"/>
      <c r="W72" s="257"/>
      <c r="X72" s="257"/>
      <c r="Y72" s="257"/>
      <c r="Z72" s="257"/>
      <c r="AA72" s="257"/>
    </row>
    <row r="73" spans="1:27" ht="16.5" customHeight="1" x14ac:dyDescent="0.25">
      <c r="A73" s="30"/>
      <c r="B73" s="30"/>
      <c r="C73" s="30"/>
      <c r="D73" s="30"/>
      <c r="E73" s="30"/>
      <c r="F73" s="30" t="s">
        <v>406</v>
      </c>
      <c r="G73" s="30" t="s">
        <v>628</v>
      </c>
      <c r="H73" s="30" t="s">
        <v>550</v>
      </c>
      <c r="I73" s="30" t="s">
        <v>487</v>
      </c>
      <c r="J73" s="30"/>
      <c r="K73" s="30"/>
      <c r="L73" s="30"/>
      <c r="M73" s="30"/>
      <c r="N73" s="30"/>
      <c r="O73" s="30"/>
      <c r="P73" s="30"/>
      <c r="Q73" s="30"/>
      <c r="R73" s="30" t="s">
        <v>411</v>
      </c>
      <c r="S73" s="30" t="s">
        <v>636</v>
      </c>
      <c r="T73" s="273" t="s">
        <v>479</v>
      </c>
      <c r="U73" s="30" t="s">
        <v>493</v>
      </c>
      <c r="V73" s="30"/>
      <c r="W73" s="257"/>
      <c r="X73" s="257"/>
      <c r="Y73" s="257"/>
      <c r="Z73" s="257"/>
      <c r="AA73" s="257"/>
    </row>
    <row r="74" spans="1:27" ht="16.5" customHeight="1" x14ac:dyDescent="0.25">
      <c r="A74" s="30"/>
      <c r="B74" s="30"/>
      <c r="C74" s="30"/>
      <c r="D74" s="30"/>
      <c r="E74" s="30"/>
      <c r="F74" s="30" t="s">
        <v>407</v>
      </c>
      <c r="G74" s="30" t="s">
        <v>605</v>
      </c>
      <c r="H74" s="30" t="s">
        <v>555</v>
      </c>
      <c r="I74" s="30" t="s">
        <v>487</v>
      </c>
      <c r="J74" s="30"/>
      <c r="K74" s="30"/>
      <c r="L74" s="30"/>
      <c r="M74" s="30"/>
      <c r="N74" s="30"/>
      <c r="O74" s="30"/>
      <c r="P74" s="30"/>
      <c r="Q74" s="30"/>
      <c r="R74" s="30" t="s">
        <v>412</v>
      </c>
      <c r="S74" s="30" t="s">
        <v>636</v>
      </c>
      <c r="T74" s="273" t="s">
        <v>479</v>
      </c>
      <c r="U74" s="30" t="s">
        <v>493</v>
      </c>
      <c r="V74" s="30"/>
      <c r="W74" s="257"/>
      <c r="X74" s="257"/>
      <c r="Y74" s="257"/>
      <c r="Z74" s="257"/>
      <c r="AA74" s="257"/>
    </row>
    <row r="75" spans="1:27" ht="16.5" customHeight="1" x14ac:dyDescent="0.25">
      <c r="A75" s="30"/>
      <c r="B75" s="30"/>
      <c r="C75" s="30"/>
      <c r="D75" s="30"/>
      <c r="E75" s="30"/>
      <c r="F75" s="30" t="s">
        <v>634</v>
      </c>
      <c r="G75" s="30" t="s">
        <v>485</v>
      </c>
      <c r="H75" s="30" t="s">
        <v>535</v>
      </c>
      <c r="I75" s="30" t="s">
        <v>487</v>
      </c>
      <c r="J75" s="30"/>
      <c r="K75" s="30"/>
      <c r="L75" s="30"/>
      <c r="M75" s="30"/>
      <c r="N75" s="30"/>
      <c r="O75" s="30"/>
      <c r="P75" s="30"/>
      <c r="Q75" s="30"/>
      <c r="R75" s="288" t="s">
        <v>413</v>
      </c>
      <c r="S75" s="30" t="s">
        <v>630</v>
      </c>
      <c r="T75" s="273" t="s">
        <v>480</v>
      </c>
      <c r="U75" s="30" t="s">
        <v>493</v>
      </c>
      <c r="V75" s="30"/>
      <c r="W75" s="257"/>
      <c r="X75" s="257"/>
      <c r="Y75" s="257"/>
      <c r="Z75" s="257"/>
      <c r="AA75" s="257"/>
    </row>
    <row r="76" spans="1:27" ht="24" customHeight="1" x14ac:dyDescent="0.25">
      <c r="A76" s="30"/>
      <c r="B76" s="30"/>
      <c r="C76" s="30"/>
      <c r="D76" s="30"/>
      <c r="E76" s="30"/>
      <c r="F76" s="30" t="s">
        <v>409</v>
      </c>
      <c r="G76" s="30" t="s">
        <v>637</v>
      </c>
      <c r="H76" s="30" t="s">
        <v>483</v>
      </c>
      <c r="I76" s="30" t="s">
        <v>487</v>
      </c>
      <c r="J76" s="30"/>
      <c r="K76" s="30"/>
      <c r="L76" s="30"/>
      <c r="M76" s="30"/>
      <c r="N76" s="30"/>
      <c r="O76" s="30"/>
      <c r="P76" s="30"/>
      <c r="Q76" s="30"/>
      <c r="R76" s="30" t="s">
        <v>638</v>
      </c>
      <c r="S76" s="296" t="s">
        <v>639</v>
      </c>
      <c r="T76" s="273" t="s">
        <v>516</v>
      </c>
      <c r="U76" s="30" t="s">
        <v>509</v>
      </c>
      <c r="V76" s="30"/>
      <c r="W76" s="257"/>
      <c r="X76" s="257"/>
      <c r="Y76" s="257"/>
      <c r="Z76" s="257"/>
      <c r="AA76" s="257"/>
    </row>
    <row r="77" spans="1:27" ht="16.5" customHeight="1" x14ac:dyDescent="0.25">
      <c r="A77" s="30"/>
      <c r="B77" s="30"/>
      <c r="C77" s="30"/>
      <c r="D77" s="30"/>
      <c r="E77" s="30"/>
      <c r="F77" s="30" t="s">
        <v>410</v>
      </c>
      <c r="G77" s="30" t="s">
        <v>637</v>
      </c>
      <c r="H77" s="30" t="s">
        <v>483</v>
      </c>
      <c r="I77" s="30" t="s">
        <v>487</v>
      </c>
      <c r="J77" s="30"/>
      <c r="K77" s="30"/>
      <c r="L77" s="30"/>
      <c r="M77" s="30"/>
      <c r="N77" s="30"/>
      <c r="O77" s="30"/>
      <c r="P77" s="30"/>
      <c r="Q77" s="30"/>
      <c r="R77" s="30" t="s">
        <v>640</v>
      </c>
      <c r="S77" s="30" t="s">
        <v>641</v>
      </c>
      <c r="T77" s="273" t="s">
        <v>516</v>
      </c>
      <c r="U77" s="30" t="s">
        <v>509</v>
      </c>
      <c r="V77" s="30"/>
      <c r="W77" s="257"/>
      <c r="X77" s="257"/>
      <c r="Y77" s="257"/>
      <c r="Z77" s="257"/>
      <c r="AA77" s="257"/>
    </row>
    <row r="78" spans="1:27" ht="16.5" customHeight="1" x14ac:dyDescent="0.25">
      <c r="A78" s="30"/>
      <c r="B78" s="30"/>
      <c r="C78" s="30"/>
      <c r="D78" s="30"/>
      <c r="E78" s="30"/>
      <c r="F78" s="30" t="s">
        <v>411</v>
      </c>
      <c r="G78" s="30" t="s">
        <v>637</v>
      </c>
      <c r="H78" s="30" t="s">
        <v>483</v>
      </c>
      <c r="I78" s="30" t="s">
        <v>487</v>
      </c>
      <c r="J78" s="30"/>
      <c r="K78" s="30"/>
      <c r="L78" s="30"/>
      <c r="M78" s="30"/>
      <c r="N78" s="30"/>
      <c r="O78" s="30"/>
      <c r="P78" s="30"/>
      <c r="Q78" s="30"/>
      <c r="R78" s="30" t="s">
        <v>416</v>
      </c>
      <c r="S78" s="30" t="s">
        <v>630</v>
      </c>
      <c r="T78" s="273" t="s">
        <v>481</v>
      </c>
      <c r="U78" s="30" t="s">
        <v>509</v>
      </c>
      <c r="V78" s="30"/>
      <c r="W78" s="257"/>
      <c r="X78" s="257"/>
      <c r="Y78" s="257"/>
      <c r="Z78" s="257"/>
      <c r="AA78" s="257"/>
    </row>
    <row r="79" spans="1:27" ht="16.5" customHeight="1" x14ac:dyDescent="0.25">
      <c r="A79" s="30"/>
      <c r="B79" s="30"/>
      <c r="C79" s="30"/>
      <c r="D79" s="30"/>
      <c r="E79" s="30"/>
      <c r="F79" s="30" t="s">
        <v>412</v>
      </c>
      <c r="G79" s="30" t="s">
        <v>637</v>
      </c>
      <c r="H79" s="30" t="s">
        <v>483</v>
      </c>
      <c r="I79" s="30" t="s">
        <v>487</v>
      </c>
      <c r="J79" s="30"/>
      <c r="K79" s="30"/>
      <c r="L79" s="30"/>
      <c r="M79" s="30"/>
      <c r="N79" s="30"/>
      <c r="O79" s="30"/>
      <c r="P79" s="30"/>
      <c r="Q79" s="30"/>
      <c r="R79" s="30" t="s">
        <v>642</v>
      </c>
      <c r="S79" s="30" t="s">
        <v>491</v>
      </c>
      <c r="T79" s="264" t="s">
        <v>492</v>
      </c>
      <c r="U79" s="30" t="s">
        <v>493</v>
      </c>
      <c r="V79" s="30"/>
      <c r="W79" s="257"/>
      <c r="X79" s="257"/>
      <c r="Y79" s="257"/>
      <c r="Z79" s="257"/>
      <c r="AA79" s="257"/>
    </row>
    <row r="80" spans="1:27" ht="16.5" customHeight="1" x14ac:dyDescent="0.25">
      <c r="A80" s="30"/>
      <c r="B80" s="30"/>
      <c r="C80" s="30"/>
      <c r="D80" s="30"/>
      <c r="E80" s="30"/>
      <c r="F80" s="30" t="s">
        <v>413</v>
      </c>
      <c r="G80" s="30" t="s">
        <v>633</v>
      </c>
      <c r="H80" s="30" t="s">
        <v>483</v>
      </c>
      <c r="I80" s="30" t="s">
        <v>487</v>
      </c>
      <c r="J80" s="30"/>
      <c r="K80" s="30"/>
      <c r="L80" s="30"/>
      <c r="M80" s="30"/>
      <c r="N80" s="30"/>
      <c r="O80" s="30"/>
      <c r="P80" s="30"/>
      <c r="Q80" s="30"/>
      <c r="R80" s="285" t="s">
        <v>643</v>
      </c>
      <c r="S80" s="30" t="s">
        <v>542</v>
      </c>
      <c r="T80" s="273" t="s">
        <v>516</v>
      </c>
      <c r="U80" s="30" t="s">
        <v>509</v>
      </c>
      <c r="V80" s="30"/>
      <c r="W80" s="257"/>
      <c r="X80" s="257"/>
      <c r="Y80" s="257"/>
      <c r="Z80" s="257"/>
      <c r="AA80" s="257"/>
    </row>
    <row r="81" spans="1:27" ht="16.5" customHeight="1" x14ac:dyDescent="0.25">
      <c r="A81" s="30"/>
      <c r="B81" s="30"/>
      <c r="C81" s="30"/>
      <c r="D81" s="30"/>
      <c r="E81" s="30"/>
      <c r="F81" s="30" t="s">
        <v>638</v>
      </c>
      <c r="G81" s="30" t="s">
        <v>596</v>
      </c>
      <c r="H81" s="30" t="s">
        <v>483</v>
      </c>
      <c r="I81" s="30" t="s">
        <v>487</v>
      </c>
      <c r="J81" s="30"/>
      <c r="K81" s="30"/>
      <c r="L81" s="30"/>
      <c r="M81" s="30"/>
      <c r="N81" s="30"/>
      <c r="O81" s="30"/>
      <c r="P81" s="30"/>
      <c r="Q81" s="30"/>
      <c r="R81" s="30" t="s">
        <v>419</v>
      </c>
      <c r="S81" s="30" t="s">
        <v>491</v>
      </c>
      <c r="T81" s="264" t="s">
        <v>492</v>
      </c>
      <c r="U81" s="30" t="s">
        <v>493</v>
      </c>
      <c r="V81" s="30"/>
      <c r="W81" s="257"/>
      <c r="X81" s="257"/>
      <c r="Y81" s="257"/>
      <c r="Z81" s="257"/>
      <c r="AA81" s="257"/>
    </row>
    <row r="82" spans="1:27" ht="16.5" customHeight="1" x14ac:dyDescent="0.35">
      <c r="A82" s="30"/>
      <c r="B82" s="30"/>
      <c r="C82" s="30"/>
      <c r="D82" s="30"/>
      <c r="E82" s="30"/>
      <c r="F82" s="30" t="s">
        <v>640</v>
      </c>
      <c r="G82" s="30" t="s">
        <v>633</v>
      </c>
      <c r="H82" s="30" t="s">
        <v>483</v>
      </c>
      <c r="I82" s="270" t="s">
        <v>505</v>
      </c>
      <c r="J82" s="30"/>
      <c r="K82" s="30"/>
      <c r="L82" s="30"/>
      <c r="M82" s="30"/>
      <c r="N82" s="30"/>
      <c r="O82" s="30"/>
      <c r="P82" s="30"/>
      <c r="Q82" s="30"/>
      <c r="R82" s="30" t="s">
        <v>644</v>
      </c>
      <c r="S82" s="30" t="s">
        <v>630</v>
      </c>
      <c r="T82" s="30" t="s">
        <v>482</v>
      </c>
      <c r="U82" s="30" t="s">
        <v>509</v>
      </c>
      <c r="V82" s="30"/>
      <c r="W82" s="302"/>
      <c r="X82" s="302"/>
      <c r="Y82" s="302"/>
      <c r="Z82" s="302"/>
      <c r="AA82" s="302"/>
    </row>
    <row r="83" spans="1:27" ht="16.5" customHeight="1" x14ac:dyDescent="0.35">
      <c r="A83" s="30"/>
      <c r="B83" s="30"/>
      <c r="C83" s="30"/>
      <c r="D83" s="30"/>
      <c r="E83" s="30"/>
      <c r="F83" s="30" t="s">
        <v>416</v>
      </c>
      <c r="G83" s="30" t="s">
        <v>600</v>
      </c>
      <c r="H83" s="30" t="s">
        <v>119</v>
      </c>
      <c r="I83" s="30" t="s">
        <v>487</v>
      </c>
      <c r="J83" s="30"/>
      <c r="K83" s="30"/>
      <c r="L83" s="30"/>
      <c r="M83" s="30"/>
      <c r="N83" s="30"/>
      <c r="O83" s="30"/>
      <c r="P83" s="30"/>
      <c r="Q83" s="30"/>
      <c r="R83" s="30" t="s">
        <v>645</v>
      </c>
      <c r="S83" s="30" t="s">
        <v>491</v>
      </c>
      <c r="T83" s="264" t="s">
        <v>492</v>
      </c>
      <c r="U83" s="30" t="s">
        <v>493</v>
      </c>
      <c r="V83" s="30"/>
      <c r="W83" s="302"/>
      <c r="X83" s="302"/>
      <c r="Y83" s="302"/>
      <c r="Z83" s="302"/>
      <c r="AA83" s="302"/>
    </row>
    <row r="84" spans="1:27" ht="16.5" customHeight="1" x14ac:dyDescent="0.35">
      <c r="A84" s="30"/>
      <c r="B84" s="30"/>
      <c r="C84" s="30"/>
      <c r="D84" s="30"/>
      <c r="E84" s="30"/>
      <c r="F84" s="30" t="s">
        <v>642</v>
      </c>
      <c r="G84" s="30" t="s">
        <v>485</v>
      </c>
      <c r="H84" s="30" t="s">
        <v>539</v>
      </c>
      <c r="I84" s="30" t="s">
        <v>487</v>
      </c>
      <c r="J84" s="30"/>
      <c r="K84" s="30"/>
      <c r="L84" s="30"/>
      <c r="M84" s="30"/>
      <c r="N84" s="30"/>
      <c r="O84" s="30"/>
      <c r="P84" s="30"/>
      <c r="Q84" s="30"/>
      <c r="R84" s="30" t="s">
        <v>646</v>
      </c>
      <c r="S84" s="30" t="s">
        <v>491</v>
      </c>
      <c r="T84" s="264" t="s">
        <v>492</v>
      </c>
      <c r="U84" s="30" t="s">
        <v>493</v>
      </c>
      <c r="V84" s="30"/>
      <c r="W84" s="302"/>
      <c r="X84" s="302"/>
      <c r="Y84" s="302"/>
      <c r="Z84" s="302"/>
      <c r="AA84" s="302"/>
    </row>
    <row r="85" spans="1:27" ht="16.5" customHeight="1" x14ac:dyDescent="0.25">
      <c r="A85" s="30"/>
      <c r="B85" s="30"/>
      <c r="C85" s="30"/>
      <c r="D85" s="30"/>
      <c r="E85" s="30"/>
      <c r="F85" s="284" t="s">
        <v>643</v>
      </c>
      <c r="G85" s="30" t="s">
        <v>598</v>
      </c>
      <c r="H85" s="30" t="s">
        <v>557</v>
      </c>
      <c r="I85" s="270" t="s">
        <v>505</v>
      </c>
      <c r="J85" s="30"/>
      <c r="K85" s="30"/>
      <c r="L85" s="30"/>
      <c r="M85" s="30"/>
      <c r="N85" s="30"/>
      <c r="O85" s="30"/>
      <c r="P85" s="30"/>
      <c r="Q85" s="30"/>
      <c r="R85" s="30" t="s">
        <v>423</v>
      </c>
      <c r="S85" s="30" t="s">
        <v>630</v>
      </c>
      <c r="T85" s="273" t="s">
        <v>481</v>
      </c>
      <c r="U85" s="30" t="s">
        <v>509</v>
      </c>
      <c r="V85" s="30"/>
    </row>
    <row r="86" spans="1:27" ht="16.5" customHeight="1" x14ac:dyDescent="0.25">
      <c r="A86" s="30"/>
      <c r="B86" s="30"/>
      <c r="C86" s="30"/>
      <c r="D86" s="30"/>
      <c r="E86" s="30"/>
      <c r="F86" s="30" t="s">
        <v>419</v>
      </c>
      <c r="G86" s="30" t="s">
        <v>513</v>
      </c>
      <c r="H86" s="30" t="s">
        <v>547</v>
      </c>
      <c r="I86" s="270" t="s">
        <v>505</v>
      </c>
      <c r="J86" s="30"/>
      <c r="K86" s="30"/>
      <c r="L86" s="30"/>
      <c r="M86" s="30"/>
      <c r="N86" s="30"/>
      <c r="O86" s="30"/>
      <c r="P86" s="30"/>
      <c r="Q86" s="30"/>
      <c r="R86" s="30" t="s">
        <v>424</v>
      </c>
      <c r="S86" s="30" t="s">
        <v>630</v>
      </c>
      <c r="T86" s="273" t="s">
        <v>631</v>
      </c>
      <c r="U86" s="30" t="s">
        <v>509</v>
      </c>
      <c r="V86" s="30"/>
    </row>
    <row r="87" spans="1:27" ht="16.5" customHeight="1" x14ac:dyDescent="0.25">
      <c r="A87" s="30"/>
      <c r="B87" s="30"/>
      <c r="C87" s="30"/>
      <c r="D87" s="30"/>
      <c r="E87" s="30"/>
      <c r="F87" s="30" t="s">
        <v>644</v>
      </c>
      <c r="G87" s="30" t="s">
        <v>605</v>
      </c>
      <c r="H87" s="30" t="s">
        <v>541</v>
      </c>
      <c r="I87" s="30" t="s">
        <v>487</v>
      </c>
      <c r="J87" s="30"/>
      <c r="K87" s="30"/>
      <c r="L87" s="30"/>
      <c r="M87" s="30"/>
      <c r="N87" s="30"/>
      <c r="O87" s="30"/>
      <c r="P87" s="30"/>
      <c r="Q87" s="30"/>
      <c r="R87" s="30" t="s">
        <v>425</v>
      </c>
      <c r="S87" s="30" t="s">
        <v>630</v>
      </c>
      <c r="T87" s="273" t="s">
        <v>481</v>
      </c>
      <c r="U87" s="30" t="s">
        <v>509</v>
      </c>
      <c r="V87" s="30"/>
    </row>
    <row r="88" spans="1:27" ht="16.5" customHeight="1" x14ac:dyDescent="0.25">
      <c r="A88" s="30"/>
      <c r="B88" s="30"/>
      <c r="C88" s="30"/>
      <c r="D88" s="30"/>
      <c r="E88" s="30"/>
      <c r="F88" s="30" t="s">
        <v>645</v>
      </c>
      <c r="G88" s="30" t="s">
        <v>485</v>
      </c>
      <c r="H88" s="30" t="s">
        <v>545</v>
      </c>
      <c r="I88" s="30" t="s">
        <v>487</v>
      </c>
      <c r="J88" s="30"/>
      <c r="K88" s="30"/>
      <c r="L88" s="30"/>
      <c r="M88" s="30"/>
      <c r="N88" s="30"/>
      <c r="O88" s="30"/>
      <c r="P88" s="30"/>
      <c r="Q88" s="30"/>
      <c r="R88" s="30" t="s">
        <v>426</v>
      </c>
      <c r="S88" s="30" t="s">
        <v>630</v>
      </c>
      <c r="T88" s="273" t="s">
        <v>631</v>
      </c>
      <c r="U88" s="30" t="s">
        <v>509</v>
      </c>
      <c r="V88" s="30"/>
    </row>
    <row r="89" spans="1:27" ht="16.5" customHeight="1" x14ac:dyDescent="0.25">
      <c r="A89" s="30"/>
      <c r="B89" s="30"/>
      <c r="C89" s="30"/>
      <c r="D89" s="30"/>
      <c r="E89" s="30"/>
      <c r="F89" s="30" t="s">
        <v>646</v>
      </c>
      <c r="G89" s="30" t="s">
        <v>485</v>
      </c>
      <c r="H89" s="30" t="s">
        <v>548</v>
      </c>
      <c r="I89" s="30" t="s">
        <v>487</v>
      </c>
      <c r="J89" s="30"/>
      <c r="K89" s="30"/>
      <c r="L89" s="30"/>
      <c r="M89" s="30"/>
      <c r="N89" s="30"/>
      <c r="O89" s="30"/>
      <c r="P89" s="30"/>
      <c r="Q89" s="30"/>
      <c r="R89" s="30" t="s">
        <v>427</v>
      </c>
      <c r="S89" s="30" t="s">
        <v>630</v>
      </c>
      <c r="T89" s="273" t="s">
        <v>481</v>
      </c>
      <c r="U89" s="30" t="s">
        <v>509</v>
      </c>
      <c r="V89" s="30"/>
    </row>
    <row r="90" spans="1:27" ht="16.5" customHeight="1" x14ac:dyDescent="0.25">
      <c r="A90" s="30"/>
      <c r="B90" s="30"/>
      <c r="C90" s="30"/>
      <c r="D90" s="30"/>
      <c r="E90" s="30"/>
      <c r="F90" s="30" t="s">
        <v>423</v>
      </c>
      <c r="G90" s="30" t="s">
        <v>600</v>
      </c>
      <c r="H90" s="30" t="s">
        <v>119</v>
      </c>
      <c r="I90" s="30" t="s">
        <v>487</v>
      </c>
      <c r="J90" s="30"/>
      <c r="K90" s="30"/>
      <c r="L90" s="30"/>
      <c r="M90" s="30"/>
      <c r="N90" s="30"/>
      <c r="O90" s="30"/>
      <c r="P90" s="30"/>
      <c r="Q90" s="30"/>
      <c r="R90" s="30" t="s">
        <v>428</v>
      </c>
      <c r="S90" s="30" t="s">
        <v>630</v>
      </c>
      <c r="T90" s="273" t="s">
        <v>631</v>
      </c>
      <c r="U90" s="30" t="s">
        <v>509</v>
      </c>
      <c r="V90" s="30"/>
    </row>
    <row r="91" spans="1:27" ht="16.5" customHeight="1" x14ac:dyDescent="0.25">
      <c r="A91" s="30"/>
      <c r="B91" s="30"/>
      <c r="C91" s="30"/>
      <c r="D91" s="30"/>
      <c r="E91" s="30"/>
      <c r="F91" s="30" t="s">
        <v>424</v>
      </c>
      <c r="G91" s="30" t="s">
        <v>600</v>
      </c>
      <c r="H91" s="30" t="s">
        <v>119</v>
      </c>
      <c r="I91" s="30" t="s">
        <v>487</v>
      </c>
      <c r="J91" s="30"/>
      <c r="K91" s="30"/>
      <c r="L91" s="30"/>
      <c r="M91" s="30"/>
      <c r="N91" s="30"/>
      <c r="O91" s="30"/>
      <c r="P91" s="30"/>
      <c r="Q91" s="30"/>
      <c r="R91" s="30" t="s">
        <v>429</v>
      </c>
      <c r="S91" s="30" t="s">
        <v>630</v>
      </c>
      <c r="T91" s="273" t="s">
        <v>481</v>
      </c>
      <c r="U91" s="30" t="s">
        <v>509</v>
      </c>
      <c r="V91" s="30"/>
    </row>
    <row r="92" spans="1:27" ht="16.5" customHeight="1" x14ac:dyDescent="0.25">
      <c r="A92" s="30"/>
      <c r="B92" s="30"/>
      <c r="C92" s="30"/>
      <c r="D92" s="30"/>
      <c r="E92" s="30"/>
      <c r="F92" s="30" t="s">
        <v>425</v>
      </c>
      <c r="G92" s="30" t="s">
        <v>600</v>
      </c>
      <c r="H92" s="30" t="s">
        <v>119</v>
      </c>
      <c r="I92" s="30" t="s">
        <v>487</v>
      </c>
      <c r="J92" s="30"/>
      <c r="K92" s="30"/>
      <c r="L92" s="30"/>
      <c r="M92" s="30"/>
      <c r="N92" s="30"/>
      <c r="O92" s="30"/>
      <c r="P92" s="30"/>
      <c r="Q92" s="30"/>
      <c r="R92" s="30" t="s">
        <v>430</v>
      </c>
      <c r="S92" s="30" t="s">
        <v>630</v>
      </c>
      <c r="T92" s="273" t="s">
        <v>631</v>
      </c>
      <c r="U92" s="30" t="s">
        <v>509</v>
      </c>
      <c r="V92" s="30"/>
    </row>
    <row r="93" spans="1:27" ht="16.5" customHeight="1" x14ac:dyDescent="0.25">
      <c r="A93" s="30"/>
      <c r="B93" s="30"/>
      <c r="C93" s="30"/>
      <c r="D93" s="30"/>
      <c r="E93" s="30"/>
      <c r="F93" s="30" t="s">
        <v>426</v>
      </c>
      <c r="G93" s="30" t="s">
        <v>628</v>
      </c>
      <c r="H93" s="30" t="s">
        <v>119</v>
      </c>
      <c r="I93" s="30" t="s">
        <v>487</v>
      </c>
      <c r="J93" s="30"/>
      <c r="K93" s="30"/>
      <c r="L93" s="30"/>
      <c r="M93" s="30"/>
      <c r="N93" s="30"/>
      <c r="O93" s="30"/>
      <c r="P93" s="30"/>
      <c r="Q93" s="30"/>
      <c r="R93" s="30" t="s">
        <v>431</v>
      </c>
      <c r="S93" s="30" t="s">
        <v>630</v>
      </c>
      <c r="T93" s="273" t="s">
        <v>631</v>
      </c>
      <c r="U93" s="30" t="s">
        <v>509</v>
      </c>
      <c r="V93" s="30"/>
    </row>
    <row r="94" spans="1:27" ht="16.5" customHeight="1" x14ac:dyDescent="0.25">
      <c r="A94" s="30"/>
      <c r="B94" s="30"/>
      <c r="C94" s="30"/>
      <c r="D94" s="30"/>
      <c r="E94" s="30"/>
      <c r="F94" s="30" t="s">
        <v>427</v>
      </c>
      <c r="G94" s="273" t="s">
        <v>605</v>
      </c>
      <c r="H94" s="30" t="s">
        <v>119</v>
      </c>
      <c r="I94" s="30" t="s">
        <v>487</v>
      </c>
      <c r="J94" s="30"/>
      <c r="K94" s="30"/>
      <c r="L94" s="30"/>
      <c r="M94" s="30"/>
      <c r="N94" s="30"/>
      <c r="O94" s="30"/>
      <c r="P94" s="30"/>
      <c r="Q94" s="30"/>
      <c r="R94" s="30" t="s">
        <v>432</v>
      </c>
      <c r="S94" s="278" t="s">
        <v>630</v>
      </c>
      <c r="T94" s="273" t="s">
        <v>631</v>
      </c>
      <c r="U94" s="30" t="s">
        <v>509</v>
      </c>
      <c r="V94" s="30"/>
    </row>
    <row r="95" spans="1:27" ht="16.5" customHeight="1" x14ac:dyDescent="0.25">
      <c r="A95" s="30"/>
      <c r="B95" s="30"/>
      <c r="C95" s="30"/>
      <c r="D95" s="30"/>
      <c r="E95" s="30"/>
      <c r="F95" s="30" t="s">
        <v>428</v>
      </c>
      <c r="G95" s="30" t="s">
        <v>600</v>
      </c>
      <c r="H95" s="30" t="s">
        <v>119</v>
      </c>
      <c r="I95" s="30" t="s">
        <v>487</v>
      </c>
      <c r="J95" s="30"/>
      <c r="K95" s="30"/>
      <c r="L95" s="30"/>
      <c r="M95" s="30"/>
      <c r="N95" s="30"/>
      <c r="O95" s="30"/>
      <c r="P95" s="30"/>
      <c r="Q95" s="30"/>
      <c r="R95" s="30" t="s">
        <v>647</v>
      </c>
      <c r="S95" s="30" t="s">
        <v>491</v>
      </c>
      <c r="T95" s="264" t="s">
        <v>492</v>
      </c>
      <c r="U95" s="30" t="s">
        <v>493</v>
      </c>
      <c r="V95" s="30"/>
    </row>
    <row r="96" spans="1:27" ht="16.5" customHeight="1" x14ac:dyDescent="0.25">
      <c r="A96" s="30"/>
      <c r="B96" s="30"/>
      <c r="C96" s="30"/>
      <c r="D96" s="30"/>
      <c r="E96" s="30"/>
      <c r="F96" s="30" t="s">
        <v>429</v>
      </c>
      <c r="G96" s="30" t="s">
        <v>600</v>
      </c>
      <c r="H96" s="30" t="s">
        <v>119</v>
      </c>
      <c r="I96" s="30" t="s">
        <v>487</v>
      </c>
      <c r="J96" s="30"/>
      <c r="K96" s="30"/>
      <c r="L96" s="30"/>
      <c r="M96" s="30"/>
      <c r="N96" s="30"/>
      <c r="O96" s="30"/>
      <c r="P96" s="30"/>
      <c r="Q96" s="30"/>
      <c r="R96" s="30" t="s">
        <v>648</v>
      </c>
      <c r="S96" s="30" t="s">
        <v>491</v>
      </c>
      <c r="T96" s="264" t="s">
        <v>492</v>
      </c>
      <c r="U96" s="30" t="s">
        <v>493</v>
      </c>
      <c r="V96" s="30"/>
    </row>
    <row r="97" spans="1:28" ht="16.5" customHeight="1" x14ac:dyDescent="0.25">
      <c r="A97" s="30"/>
      <c r="B97" s="30"/>
      <c r="C97" s="30"/>
      <c r="D97" s="30"/>
      <c r="E97" s="30"/>
      <c r="F97" s="30" t="s">
        <v>430</v>
      </c>
      <c r="G97" s="30" t="s">
        <v>600</v>
      </c>
      <c r="H97" s="30" t="s">
        <v>119</v>
      </c>
      <c r="I97" s="30" t="s">
        <v>487</v>
      </c>
      <c r="J97" s="30"/>
      <c r="K97" s="30"/>
      <c r="L97" s="30"/>
      <c r="M97" s="30"/>
      <c r="N97" s="30"/>
      <c r="O97" s="30"/>
      <c r="P97" s="30"/>
      <c r="Q97" s="30"/>
      <c r="R97" s="30"/>
    </row>
    <row r="98" spans="1:28" ht="16.5" customHeight="1" x14ac:dyDescent="0.25">
      <c r="A98" s="30"/>
      <c r="B98" s="30"/>
      <c r="C98" s="30"/>
      <c r="D98" s="30"/>
      <c r="E98" s="30"/>
      <c r="F98" s="30" t="s">
        <v>431</v>
      </c>
      <c r="G98" s="30" t="s">
        <v>600</v>
      </c>
      <c r="H98" s="30" t="s">
        <v>119</v>
      </c>
      <c r="I98" s="30" t="s">
        <v>487</v>
      </c>
      <c r="J98" s="30"/>
      <c r="K98" s="30"/>
      <c r="L98" s="30"/>
      <c r="M98" s="30"/>
      <c r="N98" s="30"/>
      <c r="O98" s="30"/>
      <c r="P98" s="30"/>
      <c r="Q98" s="30"/>
      <c r="R98" s="30"/>
    </row>
    <row r="99" spans="1:28" ht="16.5" customHeight="1" x14ac:dyDescent="0.25">
      <c r="A99" s="30"/>
      <c r="B99" s="30"/>
      <c r="C99" s="30"/>
      <c r="D99" s="30"/>
      <c r="E99" s="30"/>
      <c r="F99" s="30" t="s">
        <v>432</v>
      </c>
      <c r="G99" s="30" t="s">
        <v>600</v>
      </c>
      <c r="H99" s="30" t="s">
        <v>119</v>
      </c>
      <c r="I99" s="30" t="s">
        <v>487</v>
      </c>
      <c r="J99" s="30"/>
      <c r="K99" s="30"/>
      <c r="L99" s="30"/>
      <c r="M99" s="30"/>
      <c r="N99" s="30"/>
      <c r="O99" s="30"/>
      <c r="P99" s="30"/>
      <c r="Q99" s="30"/>
      <c r="R99" s="30"/>
      <c r="S99" s="30"/>
      <c r="T99" s="30"/>
      <c r="U99" s="30"/>
      <c r="V99" s="30"/>
      <c r="W99" s="257"/>
      <c r="X99" s="257"/>
      <c r="Y99" s="257"/>
      <c r="Z99" s="257"/>
      <c r="AA99" s="257"/>
      <c r="AB99" s="257"/>
    </row>
    <row r="100" spans="1:28" ht="16.5" customHeight="1" x14ac:dyDescent="0.25">
      <c r="A100" s="30"/>
      <c r="B100" s="30"/>
      <c r="C100" s="30"/>
      <c r="D100" s="30"/>
      <c r="E100" s="30"/>
      <c r="F100" s="30" t="s">
        <v>647</v>
      </c>
      <c r="G100" s="30" t="s">
        <v>485</v>
      </c>
      <c r="H100" s="30" t="s">
        <v>551</v>
      </c>
      <c r="I100" s="30" t="s">
        <v>487</v>
      </c>
      <c r="J100" s="30"/>
      <c r="K100" s="30"/>
      <c r="L100" s="30"/>
      <c r="M100" s="30"/>
      <c r="N100" s="30"/>
      <c r="O100" s="30"/>
      <c r="P100" s="30"/>
      <c r="Q100" s="30"/>
      <c r="R100" s="30"/>
      <c r="W100" s="257"/>
      <c r="X100" s="257"/>
      <c r="Y100" s="257"/>
      <c r="Z100" s="257"/>
      <c r="AA100" s="257"/>
      <c r="AB100" s="257"/>
    </row>
    <row r="101" spans="1:28" ht="16.5" customHeight="1" x14ac:dyDescent="0.25">
      <c r="A101" s="30"/>
      <c r="B101" s="30" t="s">
        <v>649</v>
      </c>
      <c r="C101" s="30"/>
      <c r="D101" s="30"/>
      <c r="E101" s="30"/>
      <c r="F101" s="282" t="s">
        <v>648</v>
      </c>
      <c r="G101" s="30" t="s">
        <v>485</v>
      </c>
      <c r="H101" s="30" t="s">
        <v>553</v>
      </c>
      <c r="I101" s="30" t="s">
        <v>487</v>
      </c>
      <c r="J101" s="30"/>
      <c r="K101" s="30"/>
      <c r="L101" s="30"/>
      <c r="M101" s="30"/>
      <c r="N101" s="30"/>
      <c r="O101" s="30"/>
      <c r="P101" s="30"/>
      <c r="Q101" s="30"/>
      <c r="R101" s="30"/>
      <c r="W101" s="257"/>
      <c r="X101" s="257"/>
      <c r="Y101" s="257"/>
      <c r="Z101" s="257"/>
      <c r="AA101" s="257"/>
      <c r="AB101" s="257"/>
    </row>
    <row r="102" spans="1:28" ht="16.5" customHeight="1" x14ac:dyDescent="0.25">
      <c r="A102" s="30"/>
      <c r="B102" s="30" t="s">
        <v>487</v>
      </c>
      <c r="C102" s="30"/>
      <c r="D102" s="30"/>
      <c r="E102" s="30"/>
      <c r="F102" s="30"/>
      <c r="G102" s="30"/>
      <c r="H102" s="30"/>
      <c r="I102" s="30"/>
      <c r="J102" s="30"/>
      <c r="K102" s="30"/>
      <c r="L102" s="30"/>
      <c r="M102" s="30"/>
      <c r="N102" s="30"/>
      <c r="O102" s="30"/>
      <c r="P102" s="30"/>
      <c r="Q102" s="30"/>
      <c r="R102" s="30"/>
      <c r="W102" s="257"/>
      <c r="X102" s="257"/>
      <c r="Y102" s="257"/>
      <c r="Z102" s="257"/>
      <c r="AA102" s="257"/>
      <c r="AB102" s="257"/>
    </row>
    <row r="103" spans="1:28" ht="16.5" customHeight="1" x14ac:dyDescent="0.25">
      <c r="A103" s="30"/>
      <c r="B103" s="30" t="s">
        <v>505</v>
      </c>
      <c r="C103" s="30"/>
      <c r="D103" s="30"/>
      <c r="E103" s="30"/>
      <c r="F103" s="30"/>
      <c r="G103" s="30"/>
      <c r="H103" s="30"/>
      <c r="I103" s="30"/>
      <c r="J103" s="30"/>
      <c r="K103" s="30"/>
      <c r="L103" s="30"/>
      <c r="M103" s="30"/>
      <c r="N103" s="30"/>
      <c r="O103" s="30"/>
      <c r="P103" s="30"/>
      <c r="Q103" s="30"/>
      <c r="R103" s="30"/>
      <c r="W103" s="257"/>
      <c r="X103" s="257"/>
      <c r="Y103" s="257"/>
      <c r="Z103" s="257"/>
      <c r="AA103" s="257"/>
      <c r="AB103" s="257"/>
    </row>
    <row r="104" spans="1:28" ht="16.5" customHeight="1" x14ac:dyDescent="0.25">
      <c r="A104" s="30"/>
      <c r="B104" s="30"/>
      <c r="C104" s="30"/>
      <c r="D104" s="30"/>
      <c r="E104" s="30"/>
      <c r="F104" s="30"/>
      <c r="G104" s="30"/>
      <c r="H104" s="30"/>
      <c r="I104" s="30"/>
      <c r="J104" s="30"/>
      <c r="K104" s="30"/>
      <c r="L104" s="30"/>
      <c r="M104" s="30"/>
      <c r="N104" s="30"/>
      <c r="O104" s="30"/>
      <c r="P104" s="30"/>
      <c r="Q104" s="30"/>
      <c r="R104" s="30"/>
      <c r="W104" s="257"/>
      <c r="X104" s="257"/>
      <c r="Y104" s="257"/>
      <c r="Z104" s="257"/>
      <c r="AA104" s="257"/>
      <c r="AB104" s="257"/>
    </row>
    <row r="105" spans="1:28" ht="16.5" customHeight="1" x14ac:dyDescent="0.25">
      <c r="F105" s="30"/>
      <c r="G105" s="30"/>
      <c r="H105" s="30"/>
      <c r="R105" s="30"/>
      <c r="W105" s="257"/>
      <c r="X105" s="257"/>
      <c r="Y105" s="257"/>
      <c r="Z105" s="257"/>
      <c r="AA105" s="257"/>
      <c r="AB105" s="257"/>
    </row>
    <row r="106" spans="1:28" ht="14.25" customHeight="1" x14ac:dyDescent="0.25">
      <c r="F106" s="30"/>
      <c r="G106" s="30"/>
      <c r="H106" s="30"/>
      <c r="W106" s="257"/>
      <c r="X106" s="257"/>
      <c r="Y106" s="257"/>
      <c r="Z106" s="257"/>
      <c r="AA106" s="257"/>
      <c r="AB106" s="257"/>
    </row>
    <row r="107" spans="1:28" ht="14.25" customHeight="1" x14ac:dyDescent="0.25">
      <c r="F107" s="30"/>
      <c r="G107" s="30"/>
      <c r="H107" s="30"/>
      <c r="W107" s="257"/>
      <c r="X107" s="257"/>
      <c r="Y107" s="257"/>
      <c r="Z107" s="257"/>
      <c r="AA107" s="257"/>
      <c r="AB107" s="257"/>
    </row>
    <row r="108" spans="1:28" ht="14.25" customHeight="1" x14ac:dyDescent="0.25">
      <c r="F108" s="30"/>
      <c r="G108" s="30"/>
      <c r="H108" s="30"/>
      <c r="W108" s="257"/>
      <c r="X108" s="257"/>
      <c r="Y108" s="257"/>
      <c r="Z108" s="257"/>
      <c r="AA108" s="257"/>
      <c r="AB108" s="257"/>
    </row>
    <row r="109" spans="1:28" ht="14.25" customHeight="1" x14ac:dyDescent="0.25">
      <c r="F109" s="30"/>
      <c r="G109" s="30"/>
      <c r="H109" s="30"/>
      <c r="W109" s="257"/>
      <c r="X109" s="257"/>
      <c r="Y109" s="257"/>
      <c r="Z109" s="257"/>
      <c r="AA109" s="257"/>
      <c r="AB109" s="257"/>
    </row>
    <row r="110" spans="1:28" ht="14.25" customHeight="1" x14ac:dyDescent="0.25">
      <c r="F110" s="30"/>
      <c r="G110" s="30"/>
      <c r="H110" s="30"/>
      <c r="W110" s="257"/>
      <c r="X110" s="257"/>
      <c r="Y110" s="257"/>
      <c r="Z110" s="257"/>
      <c r="AA110" s="257"/>
      <c r="AB110" s="257"/>
    </row>
    <row r="111" spans="1:28" ht="14.25" customHeight="1" x14ac:dyDescent="0.25">
      <c r="F111" s="30"/>
      <c r="G111" s="30"/>
      <c r="H111" s="30"/>
      <c r="W111" s="257"/>
      <c r="X111" s="257"/>
      <c r="Y111" s="257"/>
      <c r="Z111" s="257"/>
      <c r="AA111" s="257"/>
      <c r="AB111" s="257"/>
    </row>
    <row r="112" spans="1:28" ht="14.25" customHeight="1" x14ac:dyDescent="0.25">
      <c r="F112" s="30"/>
      <c r="G112" s="30"/>
      <c r="H112" s="30"/>
      <c r="W112" s="257"/>
      <c r="X112" s="257"/>
      <c r="Y112" s="257"/>
      <c r="Z112" s="257"/>
      <c r="AA112" s="257"/>
      <c r="AB112" s="257"/>
    </row>
    <row r="113" spans="6:28" ht="14.25" customHeight="1" x14ac:dyDescent="0.25">
      <c r="F113" s="30"/>
      <c r="G113" s="30"/>
      <c r="H113" s="30"/>
      <c r="W113" s="257"/>
      <c r="X113" s="257"/>
      <c r="Y113" s="257"/>
      <c r="Z113" s="257"/>
      <c r="AA113" s="257"/>
      <c r="AB113" s="257"/>
    </row>
    <row r="114" spans="6:28" ht="14.25" customHeight="1" x14ac:dyDescent="0.25">
      <c r="F114" s="30"/>
      <c r="G114" s="30"/>
      <c r="H114" s="30"/>
      <c r="W114" s="257"/>
      <c r="X114" s="257"/>
      <c r="Y114" s="257"/>
      <c r="Z114" s="257"/>
      <c r="AA114" s="257"/>
      <c r="AB114" s="257"/>
    </row>
    <row r="115" spans="6:28" ht="14.25" customHeight="1" x14ac:dyDescent="0.25">
      <c r="F115" s="30"/>
      <c r="G115" s="30"/>
      <c r="H115" s="30"/>
    </row>
    <row r="116" spans="6:28" ht="14.25" customHeight="1" x14ac:dyDescent="0.25">
      <c r="F116" s="30"/>
      <c r="G116" s="30"/>
      <c r="H116" s="30"/>
    </row>
    <row r="117" spans="6:28" ht="14.25" customHeight="1" x14ac:dyDescent="0.25">
      <c r="F117" s="30"/>
      <c r="G117" s="30"/>
      <c r="H117" s="30"/>
    </row>
    <row r="118" spans="6:28" ht="14.25" customHeight="1" x14ac:dyDescent="0.25">
      <c r="F118" s="30"/>
      <c r="G118" s="30"/>
      <c r="H118" s="30"/>
    </row>
    <row r="119" spans="6:28" ht="14.25" customHeight="1" x14ac:dyDescent="0.25">
      <c r="F119" s="30"/>
      <c r="G119" s="30"/>
      <c r="H119" s="30"/>
    </row>
    <row r="120" spans="6:28" ht="14.25" customHeight="1" x14ac:dyDescent="0.25">
      <c r="F120" s="30"/>
      <c r="G120" s="30"/>
      <c r="H120" s="30"/>
    </row>
    <row r="121" spans="6:28" ht="14.25" customHeight="1" x14ac:dyDescent="0.25">
      <c r="F121" s="30"/>
      <c r="G121" s="30"/>
      <c r="H121" s="30"/>
    </row>
    <row r="122" spans="6:28" ht="14.25" customHeight="1" x14ac:dyDescent="0.25">
      <c r="F122" s="30"/>
      <c r="G122" s="30"/>
      <c r="H122" s="30"/>
    </row>
    <row r="123" spans="6:28" ht="14.25" customHeight="1" x14ac:dyDescent="0.25">
      <c r="F123" s="30"/>
      <c r="G123" s="30"/>
      <c r="H123" s="30"/>
    </row>
    <row r="124" spans="6:28" ht="14.25" customHeight="1" x14ac:dyDescent="0.25">
      <c r="F124" s="30"/>
      <c r="G124" s="30"/>
      <c r="H124" s="30"/>
    </row>
    <row r="125" spans="6:28" ht="14.25" customHeight="1" x14ac:dyDescent="0.25">
      <c r="F125" s="30"/>
      <c r="G125" s="30"/>
      <c r="H125" s="30"/>
    </row>
    <row r="126" spans="6:28" ht="14.25" customHeight="1" x14ac:dyDescent="0.25">
      <c r="F126" s="30"/>
      <c r="G126" s="30"/>
      <c r="H126" s="30"/>
    </row>
    <row r="127" spans="6:28" ht="14.25" customHeight="1" x14ac:dyDescent="0.25">
      <c r="F127" s="30"/>
      <c r="G127" s="30"/>
      <c r="H127" s="30"/>
    </row>
    <row r="128" spans="6:28" ht="14.25" customHeight="1" x14ac:dyDescent="0.25">
      <c r="F128" s="30"/>
      <c r="G128" s="30"/>
      <c r="H128" s="30"/>
    </row>
    <row r="129" spans="6:8" ht="14.25" customHeight="1" x14ac:dyDescent="0.25">
      <c r="F129" s="30"/>
      <c r="G129" s="30"/>
      <c r="H129" s="30"/>
    </row>
    <row r="130" spans="6:8" ht="14.25" customHeight="1" x14ac:dyDescent="0.25">
      <c r="F130" s="30"/>
      <c r="G130" s="30"/>
      <c r="H130" s="30"/>
    </row>
    <row r="131" spans="6:8" ht="14.25" customHeight="1" x14ac:dyDescent="0.25">
      <c r="F131" s="30"/>
      <c r="G131" s="30"/>
      <c r="H131" s="30"/>
    </row>
    <row r="132" spans="6:8" ht="14.25" customHeight="1" x14ac:dyDescent="0.25">
      <c r="F132" s="30"/>
      <c r="G132" s="30"/>
      <c r="H132" s="30"/>
    </row>
    <row r="133" spans="6:8" ht="14.25" customHeight="1" x14ac:dyDescent="0.25">
      <c r="F133" s="30"/>
      <c r="G133" s="30"/>
      <c r="H133" s="30"/>
    </row>
    <row r="134" spans="6:8" ht="14.25" customHeight="1" x14ac:dyDescent="0.25">
      <c r="F134" s="30"/>
      <c r="G134" s="30"/>
      <c r="H134" s="30"/>
    </row>
    <row r="135" spans="6:8" ht="14.25" customHeight="1" x14ac:dyDescent="0.25">
      <c r="F135" s="30"/>
      <c r="G135" s="30"/>
      <c r="H135" s="30"/>
    </row>
    <row r="136" spans="6:8" ht="14.25" customHeight="1" x14ac:dyDescent="0.25">
      <c r="F136" s="30"/>
      <c r="G136" s="30"/>
      <c r="H136" s="30"/>
    </row>
    <row r="137" spans="6:8" ht="14.25" customHeight="1" x14ac:dyDescent="0.25">
      <c r="F137" s="30"/>
      <c r="G137" s="30"/>
      <c r="H137" s="30"/>
    </row>
    <row r="138" spans="6:8" ht="14.25" customHeight="1" x14ac:dyDescent="0.25">
      <c r="F138" s="30"/>
      <c r="G138" s="30"/>
      <c r="H138" s="30"/>
    </row>
    <row r="139" spans="6:8" ht="14.25" customHeight="1" x14ac:dyDescent="0.25">
      <c r="F139" s="30"/>
      <c r="G139" s="30"/>
      <c r="H139" s="30"/>
    </row>
    <row r="140" spans="6:8" ht="14.25" customHeight="1" x14ac:dyDescent="0.25">
      <c r="F140" s="30"/>
      <c r="G140" s="30"/>
      <c r="H140" s="30"/>
    </row>
    <row r="141" spans="6:8" ht="14.25" customHeight="1" x14ac:dyDescent="0.25">
      <c r="F141" s="30"/>
      <c r="G141" s="30"/>
      <c r="H141" s="30"/>
    </row>
    <row r="142" spans="6:8" ht="14.25" customHeight="1" x14ac:dyDescent="0.25">
      <c r="F142" s="30"/>
      <c r="G142" s="30"/>
      <c r="H142" s="30"/>
    </row>
    <row r="143" spans="6:8" ht="14.25" customHeight="1" x14ac:dyDescent="0.25">
      <c r="F143" s="30"/>
      <c r="G143" s="30"/>
      <c r="H143" s="30"/>
    </row>
    <row r="144" spans="6:8" ht="14.25" customHeight="1" x14ac:dyDescent="0.25">
      <c r="F144" s="30"/>
      <c r="G144" s="30"/>
      <c r="H144" s="30"/>
    </row>
    <row r="145" spans="6:8" ht="14.25" customHeight="1" x14ac:dyDescent="0.25">
      <c r="F145" s="30"/>
      <c r="G145" s="30"/>
      <c r="H145" s="30"/>
    </row>
    <row r="146" spans="6:8" ht="14.25" customHeight="1" x14ac:dyDescent="0.25">
      <c r="F146" s="30"/>
      <c r="G146" s="30"/>
      <c r="H146" s="30"/>
    </row>
    <row r="147" spans="6:8" ht="14.25" customHeight="1" x14ac:dyDescent="0.25">
      <c r="F147" s="30"/>
      <c r="G147" s="30"/>
      <c r="H147" s="30"/>
    </row>
    <row r="148" spans="6:8" ht="14.25" customHeight="1" x14ac:dyDescent="0.25">
      <c r="F148" s="30"/>
      <c r="G148" s="30"/>
      <c r="H148" s="30"/>
    </row>
    <row r="149" spans="6:8" ht="14.25" customHeight="1" x14ac:dyDescent="0.25">
      <c r="F149" s="30"/>
      <c r="G149" s="30"/>
      <c r="H149" s="30"/>
    </row>
    <row r="150" spans="6:8" ht="14.25" customHeight="1" x14ac:dyDescent="0.25">
      <c r="F150" s="30"/>
      <c r="G150" s="30"/>
      <c r="H150" s="30"/>
    </row>
    <row r="151" spans="6:8" ht="14.25" customHeight="1" x14ac:dyDescent="0.25">
      <c r="F151" s="30"/>
      <c r="G151" s="30"/>
      <c r="H151" s="30"/>
    </row>
    <row r="152" spans="6:8" ht="14.25" customHeight="1" x14ac:dyDescent="0.25">
      <c r="F152" s="30"/>
      <c r="G152" s="30"/>
      <c r="H152" s="30"/>
    </row>
    <row r="153" spans="6:8" ht="14.25" customHeight="1" x14ac:dyDescent="0.25">
      <c r="F153" s="30"/>
      <c r="G153" s="30"/>
      <c r="H153" s="30"/>
    </row>
    <row r="154" spans="6:8" ht="14.25" customHeight="1" x14ac:dyDescent="0.25">
      <c r="F154" s="30"/>
      <c r="G154" s="30"/>
      <c r="H154" s="30"/>
    </row>
    <row r="155" spans="6:8" ht="14.25" customHeight="1" x14ac:dyDescent="0.25">
      <c r="F155" s="30"/>
      <c r="G155" s="30"/>
      <c r="H155" s="30"/>
    </row>
    <row r="156" spans="6:8" ht="14.25" customHeight="1" x14ac:dyDescent="0.25">
      <c r="F156" s="30"/>
      <c r="G156" s="30"/>
      <c r="H156" s="30"/>
    </row>
    <row r="157" spans="6:8" ht="14.25" customHeight="1" x14ac:dyDescent="0.25">
      <c r="F157" s="30"/>
      <c r="G157" s="30"/>
      <c r="H157" s="30"/>
    </row>
    <row r="158" spans="6:8" ht="14.25" customHeight="1" x14ac:dyDescent="0.25">
      <c r="F158" s="30"/>
      <c r="G158" s="30"/>
      <c r="H158" s="30"/>
    </row>
    <row r="159" spans="6:8" ht="14.25" customHeight="1" x14ac:dyDescent="0.25">
      <c r="F159" s="30"/>
      <c r="G159" s="30"/>
      <c r="H159" s="30"/>
    </row>
    <row r="160" spans="6:8" ht="14.25" customHeight="1" x14ac:dyDescent="0.25">
      <c r="F160" s="30"/>
      <c r="G160" s="30"/>
      <c r="H160" s="30"/>
    </row>
    <row r="161" spans="6:8" ht="14.25" customHeight="1" x14ac:dyDescent="0.25">
      <c r="F161" s="30"/>
      <c r="G161" s="30"/>
      <c r="H161" s="30"/>
    </row>
    <row r="162" spans="6:8" ht="14.25" customHeight="1" x14ac:dyDescent="0.25">
      <c r="F162" s="30"/>
      <c r="G162" s="30"/>
      <c r="H162" s="30"/>
    </row>
    <row r="163" spans="6:8" ht="14.25" customHeight="1" x14ac:dyDescent="0.25">
      <c r="F163" s="30"/>
      <c r="G163" s="30"/>
      <c r="H163" s="30"/>
    </row>
    <row r="164" spans="6:8" ht="14.25" customHeight="1" x14ac:dyDescent="0.25">
      <c r="F164" s="30"/>
      <c r="G164" s="30"/>
      <c r="H164" s="30"/>
    </row>
    <row r="165" spans="6:8" ht="14.25" customHeight="1" x14ac:dyDescent="0.25">
      <c r="F165" s="30"/>
      <c r="G165" s="30"/>
      <c r="H165" s="30"/>
    </row>
    <row r="166" spans="6:8" ht="14.25" customHeight="1" x14ac:dyDescent="0.25">
      <c r="F166" s="30"/>
      <c r="G166" s="30"/>
      <c r="H166" s="30"/>
    </row>
    <row r="167" spans="6:8" ht="14.25" customHeight="1" x14ac:dyDescent="0.25">
      <c r="F167" s="30"/>
      <c r="G167" s="30"/>
      <c r="H167" s="30"/>
    </row>
    <row r="168" spans="6:8" ht="14.25" customHeight="1" x14ac:dyDescent="0.25">
      <c r="F168" s="30"/>
      <c r="G168" s="30"/>
      <c r="H168" s="30"/>
    </row>
    <row r="169" spans="6:8" ht="14.25" customHeight="1" x14ac:dyDescent="0.25">
      <c r="F169" s="30"/>
      <c r="G169" s="30"/>
      <c r="H169" s="30"/>
    </row>
    <row r="170" spans="6:8" ht="14.25" customHeight="1" x14ac:dyDescent="0.25">
      <c r="F170" s="30"/>
      <c r="G170" s="30"/>
      <c r="H170" s="30"/>
    </row>
  </sheetData>
  <mergeCells count="3">
    <mergeCell ref="L2:L3"/>
    <mergeCell ref="M2:N2"/>
    <mergeCell ref="M7:N7"/>
  </mergeCells>
  <dataValidations disablePrompts="1" count="1">
    <dataValidation type="list" allowBlank="1" showInputMessage="1" showErrorMessage="1" sqref="Z29">
      <formula1>$AG$8:$AG$12</formula1>
    </dataValidation>
  </dataValidations>
  <pageMargins left="0.7" right="0.7" top="0.75" bottom="0.75" header="0.3" footer="0.3"/>
  <tableParts count="3">
    <tablePart r:id="rId1"/>
    <tablePart r:id="rId2"/>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I64"/>
  <sheetViews>
    <sheetView topLeftCell="D1" workbookViewId="0">
      <selection activeCell="H6" sqref="H6"/>
    </sheetView>
  </sheetViews>
  <sheetFormatPr baseColWidth="10" defaultColWidth="11.42578125" defaultRowHeight="15" x14ac:dyDescent="0.25"/>
  <cols>
    <col min="1" max="2" width="31.5703125" customWidth="1"/>
    <col min="3" max="3" width="30.7109375" customWidth="1"/>
    <col min="4" max="4" width="32.28515625" style="410" customWidth="1"/>
    <col min="5" max="5" width="5.85546875" customWidth="1"/>
    <col min="6" max="6" width="31.140625" customWidth="1"/>
    <col min="7" max="7" width="37.42578125" customWidth="1"/>
    <col min="8" max="8" width="40.28515625" customWidth="1"/>
    <col min="9" max="9" width="26.85546875" customWidth="1"/>
    <col min="10" max="10" width="20" customWidth="1"/>
    <col min="11" max="11" width="18.42578125" customWidth="1"/>
  </cols>
  <sheetData>
    <row r="2" spans="1:9" ht="30" x14ac:dyDescent="0.25">
      <c r="A2" s="934" t="s">
        <v>1702</v>
      </c>
      <c r="B2" s="935" t="s">
        <v>1703</v>
      </c>
      <c r="C2" s="935" t="s">
        <v>1704</v>
      </c>
      <c r="D2" s="935" t="s">
        <v>1705</v>
      </c>
      <c r="F2" s="936" t="s">
        <v>1702</v>
      </c>
      <c r="G2" s="935" t="s">
        <v>1705</v>
      </c>
      <c r="H2" s="935" t="s">
        <v>1706</v>
      </c>
      <c r="I2" s="935" t="s">
        <v>1707</v>
      </c>
    </row>
    <row r="3" spans="1:9" x14ac:dyDescent="0.25">
      <c r="A3" s="937" t="str">
        <f>+CONCATENATE(B3,C3)</f>
        <v>No RazonableFavorable</v>
      </c>
      <c r="B3" s="938" t="s">
        <v>1708</v>
      </c>
      <c r="C3" s="944" t="s">
        <v>1719</v>
      </c>
      <c r="D3" s="938" t="s">
        <v>1708</v>
      </c>
      <c r="F3" s="940" t="str">
        <f>+CONCATENATE(G3,H3)</f>
        <v>No RazonableNegativa</v>
      </c>
      <c r="G3" s="938" t="s">
        <v>1708</v>
      </c>
      <c r="H3" s="938" t="s">
        <v>538</v>
      </c>
      <c r="I3" s="938" t="s">
        <v>1709</v>
      </c>
    </row>
    <row r="4" spans="1:9" x14ac:dyDescent="0.25">
      <c r="A4" s="937" t="str">
        <f t="shared" ref="A4:A22" si="0">+CONCATENATE(B4,C4)</f>
        <v>No RazonableCon Observaciones</v>
      </c>
      <c r="B4" s="938" t="s">
        <v>1708</v>
      </c>
      <c r="C4" s="941" t="s">
        <v>1720</v>
      </c>
      <c r="D4" s="938" t="s">
        <v>1708</v>
      </c>
      <c r="F4" s="940" t="str">
        <f t="shared" ref="F4:F18" si="1">+CONCATENATE(G4,H4)</f>
        <v>No RazonableAbstención</v>
      </c>
      <c r="G4" s="938" t="s">
        <v>1708</v>
      </c>
      <c r="H4" s="938" t="s">
        <v>544</v>
      </c>
      <c r="I4" s="938" t="s">
        <v>1709</v>
      </c>
    </row>
    <row r="5" spans="1:9" x14ac:dyDescent="0.25">
      <c r="A5" s="937" t="str">
        <f t="shared" si="0"/>
        <v>No RazonableDesfavorable</v>
      </c>
      <c r="B5" s="938" t="s">
        <v>1708</v>
      </c>
      <c r="C5" s="938" t="s">
        <v>1721</v>
      </c>
      <c r="D5" s="938" t="s">
        <v>1708</v>
      </c>
      <c r="F5" s="940" t="str">
        <f t="shared" si="1"/>
        <v>No RazonableCon Salvedades</v>
      </c>
      <c r="G5" s="938" t="s">
        <v>1708</v>
      </c>
      <c r="H5" s="941" t="s">
        <v>534</v>
      </c>
      <c r="I5" s="938" t="s">
        <v>1709</v>
      </c>
    </row>
    <row r="6" spans="1:9" x14ac:dyDescent="0.25">
      <c r="A6" s="937" t="str">
        <f t="shared" si="0"/>
        <v>No RazonableNo Aplica</v>
      </c>
      <c r="B6" s="938" t="s">
        <v>1708</v>
      </c>
      <c r="C6" s="942" t="s">
        <v>1549</v>
      </c>
      <c r="D6" s="938" t="s">
        <v>1708</v>
      </c>
      <c r="F6" s="940" t="str">
        <f t="shared" si="1"/>
        <v>No RazonableLimpia o Sin Salvedades</v>
      </c>
      <c r="G6" s="938" t="s">
        <v>1708</v>
      </c>
      <c r="H6" s="939" t="s">
        <v>529</v>
      </c>
      <c r="I6" s="938" t="s">
        <v>1709</v>
      </c>
    </row>
    <row r="7" spans="1:9" x14ac:dyDescent="0.25">
      <c r="A7" s="937" t="str">
        <f t="shared" si="0"/>
        <v>AbstenciónFavorable</v>
      </c>
      <c r="B7" s="938" t="s">
        <v>544</v>
      </c>
      <c r="C7" s="944" t="s">
        <v>1719</v>
      </c>
      <c r="D7" s="938" t="s">
        <v>544</v>
      </c>
      <c r="F7" s="940" t="str">
        <f t="shared" si="1"/>
        <v>AbstenciónNegativa</v>
      </c>
      <c r="G7" s="938" t="s">
        <v>544</v>
      </c>
      <c r="H7" s="938" t="s">
        <v>538</v>
      </c>
      <c r="I7" s="938" t="s">
        <v>1709</v>
      </c>
    </row>
    <row r="8" spans="1:9" x14ac:dyDescent="0.25">
      <c r="A8" s="937" t="str">
        <f t="shared" si="0"/>
        <v>AbstenciónCon Observaciones</v>
      </c>
      <c r="B8" s="938" t="s">
        <v>544</v>
      </c>
      <c r="C8" s="941" t="s">
        <v>1720</v>
      </c>
      <c r="D8" s="938" t="s">
        <v>544</v>
      </c>
      <c r="F8" s="940" t="str">
        <f t="shared" si="1"/>
        <v>AbstenciónAbstención</v>
      </c>
      <c r="G8" s="938" t="s">
        <v>544</v>
      </c>
      <c r="H8" s="938" t="s">
        <v>544</v>
      </c>
      <c r="I8" s="938" t="s">
        <v>1709</v>
      </c>
    </row>
    <row r="9" spans="1:9" x14ac:dyDescent="0.25">
      <c r="A9" s="937" t="str">
        <f t="shared" si="0"/>
        <v>AbstenciónDesfavorable</v>
      </c>
      <c r="B9" s="938" t="s">
        <v>544</v>
      </c>
      <c r="C9" s="938" t="s">
        <v>1721</v>
      </c>
      <c r="D9" s="938" t="s">
        <v>544</v>
      </c>
      <c r="F9" s="940" t="str">
        <f t="shared" si="1"/>
        <v>AbstenciónCon Salvedades</v>
      </c>
      <c r="G9" s="938" t="s">
        <v>544</v>
      </c>
      <c r="H9" s="941" t="s">
        <v>534</v>
      </c>
      <c r="I9" s="938" t="s">
        <v>1709</v>
      </c>
    </row>
    <row r="10" spans="1:9" x14ac:dyDescent="0.25">
      <c r="A10" s="937" t="str">
        <f t="shared" si="0"/>
        <v>AbstenciónNo Aplica</v>
      </c>
      <c r="B10" s="938" t="s">
        <v>544</v>
      </c>
      <c r="C10" s="942" t="s">
        <v>1549</v>
      </c>
      <c r="D10" s="938" t="s">
        <v>544</v>
      </c>
      <c r="F10" s="940" t="str">
        <f t="shared" si="1"/>
        <v>AbstenciónLimpia o Sin Salvedades</v>
      </c>
      <c r="G10" s="938" t="s">
        <v>544</v>
      </c>
      <c r="H10" s="939" t="s">
        <v>529</v>
      </c>
      <c r="I10" s="938" t="s">
        <v>1709</v>
      </c>
    </row>
    <row r="11" spans="1:9" x14ac:dyDescent="0.25">
      <c r="A11" s="937" t="str">
        <f t="shared" si="0"/>
        <v>Con SalvedadesFavorable</v>
      </c>
      <c r="B11" s="941" t="s">
        <v>534</v>
      </c>
      <c r="C11" s="944" t="s">
        <v>1719</v>
      </c>
      <c r="D11" s="941" t="s">
        <v>534</v>
      </c>
      <c r="F11" s="940" t="str">
        <f t="shared" si="1"/>
        <v>Con SalvedadesNegativa</v>
      </c>
      <c r="G11" s="941" t="s">
        <v>534</v>
      </c>
      <c r="H11" s="938" t="s">
        <v>538</v>
      </c>
      <c r="I11" s="938" t="s">
        <v>1709</v>
      </c>
    </row>
    <row r="12" spans="1:9" x14ac:dyDescent="0.25">
      <c r="A12" s="937" t="str">
        <f t="shared" si="0"/>
        <v>Con SalvedadesCon Observaciones</v>
      </c>
      <c r="B12" s="941" t="s">
        <v>534</v>
      </c>
      <c r="C12" s="941" t="s">
        <v>1720</v>
      </c>
      <c r="D12" s="941" t="s">
        <v>534</v>
      </c>
      <c r="F12" s="940" t="str">
        <f t="shared" si="1"/>
        <v>Con SalvedadesAbstención</v>
      </c>
      <c r="G12" s="941" t="s">
        <v>534</v>
      </c>
      <c r="H12" s="938" t="s">
        <v>544</v>
      </c>
      <c r="I12" s="938" t="s">
        <v>1709</v>
      </c>
    </row>
    <row r="13" spans="1:9" x14ac:dyDescent="0.25">
      <c r="A13" s="937" t="str">
        <f t="shared" si="0"/>
        <v>Con SalvedadesDesfavorable</v>
      </c>
      <c r="B13" s="941" t="s">
        <v>534</v>
      </c>
      <c r="C13" s="938" t="s">
        <v>1721</v>
      </c>
      <c r="D13" s="938" t="s">
        <v>1710</v>
      </c>
      <c r="F13" s="940" t="str">
        <f t="shared" si="1"/>
        <v>Con SalvedadesCon Salvedades</v>
      </c>
      <c r="G13" s="941" t="s">
        <v>534</v>
      </c>
      <c r="H13" s="941" t="s">
        <v>534</v>
      </c>
      <c r="I13" s="943" t="s">
        <v>1711</v>
      </c>
    </row>
    <row r="14" spans="1:9" x14ac:dyDescent="0.25">
      <c r="A14" s="937" t="str">
        <f t="shared" si="0"/>
        <v>Con SalvedadesNo Aplica</v>
      </c>
      <c r="B14" s="941" t="s">
        <v>534</v>
      </c>
      <c r="C14" s="942" t="s">
        <v>1549</v>
      </c>
      <c r="D14" s="941" t="s">
        <v>534</v>
      </c>
      <c r="F14" s="940" t="str">
        <f t="shared" si="1"/>
        <v>Con SalvedadesLimpia o Sin Salvedades</v>
      </c>
      <c r="G14" s="941" t="s">
        <v>534</v>
      </c>
      <c r="H14" s="939" t="s">
        <v>529</v>
      </c>
      <c r="I14" s="943" t="s">
        <v>1711</v>
      </c>
    </row>
    <row r="15" spans="1:9" x14ac:dyDescent="0.25">
      <c r="A15" s="937" t="str">
        <f t="shared" si="0"/>
        <v>RazonableFavorable</v>
      </c>
      <c r="B15" s="944" t="s">
        <v>883</v>
      </c>
      <c r="C15" s="944" t="s">
        <v>1719</v>
      </c>
      <c r="D15" s="944" t="s">
        <v>883</v>
      </c>
      <c r="F15" s="940" t="str">
        <f t="shared" si="1"/>
        <v>RazonableNegativa</v>
      </c>
      <c r="G15" s="939" t="s">
        <v>883</v>
      </c>
      <c r="H15" s="938" t="s">
        <v>538</v>
      </c>
      <c r="I15" s="938" t="s">
        <v>1709</v>
      </c>
    </row>
    <row r="16" spans="1:9" x14ac:dyDescent="0.25">
      <c r="A16" s="937" t="str">
        <f t="shared" si="0"/>
        <v>RazonableCon Observaciones</v>
      </c>
      <c r="B16" s="944" t="s">
        <v>883</v>
      </c>
      <c r="C16" s="941" t="s">
        <v>1720</v>
      </c>
      <c r="D16" s="944" t="s">
        <v>883</v>
      </c>
      <c r="F16" s="940" t="str">
        <f t="shared" si="1"/>
        <v>RazonableAbstención</v>
      </c>
      <c r="G16" s="939" t="s">
        <v>883</v>
      </c>
      <c r="H16" s="938" t="s">
        <v>544</v>
      </c>
      <c r="I16" s="938" t="s">
        <v>1709</v>
      </c>
    </row>
    <row r="17" spans="1:9" x14ac:dyDescent="0.25">
      <c r="A17" s="937" t="str">
        <f t="shared" si="0"/>
        <v>RazonableDesfavorable</v>
      </c>
      <c r="B17" s="944" t="s">
        <v>883</v>
      </c>
      <c r="C17" s="938" t="s">
        <v>1721</v>
      </c>
      <c r="D17" s="938" t="s">
        <v>1708</v>
      </c>
      <c r="F17" s="940" t="str">
        <f t="shared" si="1"/>
        <v>RazonableCon Salvedades</v>
      </c>
      <c r="G17" s="939" t="s">
        <v>883</v>
      </c>
      <c r="H17" s="941" t="s">
        <v>534</v>
      </c>
      <c r="I17" s="943" t="s">
        <v>1711</v>
      </c>
    </row>
    <row r="18" spans="1:9" ht="15" customHeight="1" x14ac:dyDescent="0.25">
      <c r="A18" s="937" t="str">
        <f t="shared" si="0"/>
        <v>RazonableNo Aplica</v>
      </c>
      <c r="B18" s="944" t="s">
        <v>883</v>
      </c>
      <c r="C18" s="942" t="s">
        <v>1549</v>
      </c>
      <c r="D18" s="944" t="s">
        <v>883</v>
      </c>
      <c r="F18" s="940" t="str">
        <f t="shared" si="1"/>
        <v>RazonableLimpia o Sin Salvedades</v>
      </c>
      <c r="G18" s="939" t="s">
        <v>883</v>
      </c>
      <c r="H18" s="939" t="s">
        <v>529</v>
      </c>
      <c r="I18" s="943" t="s">
        <v>1711</v>
      </c>
    </row>
    <row r="19" spans="1:9" x14ac:dyDescent="0.25">
      <c r="A19" s="937" t="str">
        <f t="shared" si="0"/>
        <v>No AplicaFavorable</v>
      </c>
      <c r="B19" s="942" t="s">
        <v>1549</v>
      </c>
      <c r="C19" s="944" t="s">
        <v>1719</v>
      </c>
      <c r="D19" s="944" t="s">
        <v>883</v>
      </c>
    </row>
    <row r="20" spans="1:9" x14ac:dyDescent="0.25">
      <c r="A20" s="937" t="str">
        <f t="shared" si="0"/>
        <v>No AplicaCon Observaciones</v>
      </c>
      <c r="B20" s="942" t="s">
        <v>1549</v>
      </c>
      <c r="C20" s="941" t="s">
        <v>1720</v>
      </c>
      <c r="D20" s="941" t="s">
        <v>534</v>
      </c>
    </row>
    <row r="21" spans="1:9" x14ac:dyDescent="0.25">
      <c r="A21" s="937" t="str">
        <f t="shared" si="0"/>
        <v>No AplicaDesfavorable</v>
      </c>
      <c r="B21" s="942" t="s">
        <v>1549</v>
      </c>
      <c r="C21" s="938" t="s">
        <v>1721</v>
      </c>
      <c r="D21" s="938" t="s">
        <v>1708</v>
      </c>
    </row>
    <row r="22" spans="1:9" x14ac:dyDescent="0.25">
      <c r="A22" s="937" t="str">
        <f t="shared" si="0"/>
        <v>No AplicaNo Aplica</v>
      </c>
      <c r="B22" s="942" t="s">
        <v>1549</v>
      </c>
      <c r="C22" s="942" t="s">
        <v>1549</v>
      </c>
      <c r="D22" s="942" t="s">
        <v>1549</v>
      </c>
    </row>
    <row r="26" spans="1:9" ht="30" x14ac:dyDescent="0.25">
      <c r="A26" s="934" t="s">
        <v>1702</v>
      </c>
      <c r="B26" s="935" t="s">
        <v>1713</v>
      </c>
      <c r="C26" s="935" t="s">
        <v>1714</v>
      </c>
      <c r="D26" s="935" t="s">
        <v>1706</v>
      </c>
      <c r="F26" s="934" t="s">
        <v>1702</v>
      </c>
      <c r="G26" s="934" t="s">
        <v>1722</v>
      </c>
      <c r="H26" s="934" t="s">
        <v>1723</v>
      </c>
      <c r="I26" s="934" t="s">
        <v>1724</v>
      </c>
    </row>
    <row r="27" spans="1:9" x14ac:dyDescent="0.25">
      <c r="A27" s="937" t="str">
        <f t="shared" ref="A27:A38" si="2">+CONCATENATE(B27,C27)</f>
        <v>NegativaEfectivo</v>
      </c>
      <c r="B27" s="938" t="s">
        <v>538</v>
      </c>
      <c r="C27" s="939" t="s">
        <v>146</v>
      </c>
      <c r="D27" s="938" t="s">
        <v>538</v>
      </c>
      <c r="F27" s="937" t="str">
        <f>+CONCATENATE(G27,H27)</f>
        <v>DesfavorableFavorable</v>
      </c>
      <c r="G27" s="949" t="s">
        <v>1721</v>
      </c>
      <c r="H27" s="944" t="s">
        <v>1719</v>
      </c>
      <c r="I27" s="949" t="s">
        <v>1721</v>
      </c>
    </row>
    <row r="28" spans="1:9" x14ac:dyDescent="0.25">
      <c r="A28" s="937" t="str">
        <f t="shared" si="2"/>
        <v>NegativaInefectivo</v>
      </c>
      <c r="B28" s="938" t="s">
        <v>538</v>
      </c>
      <c r="C28" s="938" t="s">
        <v>131</v>
      </c>
      <c r="D28" s="938" t="s">
        <v>538</v>
      </c>
      <c r="F28" s="937" t="str">
        <f t="shared" ref="F28:F35" si="3">+CONCATENATE(G28,H28)</f>
        <v>DesfavorableCon Observaciones</v>
      </c>
      <c r="G28" s="949" t="s">
        <v>1721</v>
      </c>
      <c r="H28" s="950" t="s">
        <v>1720</v>
      </c>
      <c r="I28" s="949" t="s">
        <v>1721</v>
      </c>
    </row>
    <row r="29" spans="1:9" x14ac:dyDescent="0.25">
      <c r="A29" s="937" t="str">
        <f t="shared" si="2"/>
        <v>NegativaNO APLICA</v>
      </c>
      <c r="B29" s="938" t="s">
        <v>538</v>
      </c>
      <c r="C29" s="941" t="s">
        <v>460</v>
      </c>
      <c r="D29" s="938" t="s">
        <v>538</v>
      </c>
      <c r="F29" s="937" t="str">
        <f t="shared" si="3"/>
        <v>DesfavorableDesfavorable</v>
      </c>
      <c r="G29" s="949" t="s">
        <v>1721</v>
      </c>
      <c r="H29" s="949" t="s">
        <v>1721</v>
      </c>
      <c r="I29" s="949" t="s">
        <v>1721</v>
      </c>
    </row>
    <row r="30" spans="1:9" x14ac:dyDescent="0.25">
      <c r="A30" s="937" t="str">
        <f t="shared" si="2"/>
        <v>AbstenciónEfectivo</v>
      </c>
      <c r="B30" s="938" t="s">
        <v>544</v>
      </c>
      <c r="C30" s="939" t="s">
        <v>146</v>
      </c>
      <c r="D30" s="938" t="s">
        <v>544</v>
      </c>
      <c r="F30" s="937" t="str">
        <f t="shared" si="3"/>
        <v>FavorableFavorable</v>
      </c>
      <c r="G30" s="944" t="s">
        <v>1719</v>
      </c>
      <c r="H30" s="944" t="s">
        <v>1719</v>
      </c>
      <c r="I30" s="944" t="s">
        <v>1719</v>
      </c>
    </row>
    <row r="31" spans="1:9" x14ac:dyDescent="0.25">
      <c r="A31" s="937" t="str">
        <f t="shared" si="2"/>
        <v>AbstenciónInefectivo</v>
      </c>
      <c r="B31" s="938" t="s">
        <v>544</v>
      </c>
      <c r="C31" s="938" t="s">
        <v>131</v>
      </c>
      <c r="D31" s="938" t="s">
        <v>544</v>
      </c>
      <c r="F31" s="937" t="str">
        <f t="shared" si="3"/>
        <v>FavorableCon Observaciones</v>
      </c>
      <c r="G31" s="944" t="s">
        <v>1719</v>
      </c>
      <c r="H31" s="950" t="s">
        <v>1720</v>
      </c>
      <c r="I31" s="944" t="s">
        <v>1719</v>
      </c>
    </row>
    <row r="32" spans="1:9" x14ac:dyDescent="0.25">
      <c r="A32" s="937" t="str">
        <f t="shared" si="2"/>
        <v>AbstenciónNO APLICA</v>
      </c>
      <c r="B32" s="938" t="s">
        <v>544</v>
      </c>
      <c r="C32" s="941" t="s">
        <v>460</v>
      </c>
      <c r="D32" s="938" t="s">
        <v>544</v>
      </c>
      <c r="F32" s="937" t="str">
        <f t="shared" si="3"/>
        <v>FavorableDesfavorable</v>
      </c>
      <c r="G32" s="944" t="s">
        <v>1719</v>
      </c>
      <c r="H32" s="949" t="s">
        <v>1721</v>
      </c>
      <c r="I32" s="949" t="s">
        <v>1721</v>
      </c>
    </row>
    <row r="33" spans="1:9" x14ac:dyDescent="0.25">
      <c r="A33" s="937" t="str">
        <f t="shared" si="2"/>
        <v>Limpia o Sin SalvedadesEfectivo</v>
      </c>
      <c r="B33" s="939" t="s">
        <v>529</v>
      </c>
      <c r="C33" s="939" t="s">
        <v>146</v>
      </c>
      <c r="D33" s="939" t="s">
        <v>529</v>
      </c>
      <c r="F33" s="937" t="str">
        <f t="shared" si="3"/>
        <v>Con ObservacionesFavorable</v>
      </c>
      <c r="G33" s="950" t="s">
        <v>1720</v>
      </c>
      <c r="H33" s="944" t="s">
        <v>1719</v>
      </c>
      <c r="I33" s="944" t="s">
        <v>1719</v>
      </c>
    </row>
    <row r="34" spans="1:9" x14ac:dyDescent="0.25">
      <c r="A34" s="937" t="str">
        <f t="shared" si="2"/>
        <v>Limpia o Sin SalvedadesInefectivo</v>
      </c>
      <c r="B34" s="939" t="s">
        <v>529</v>
      </c>
      <c r="C34" s="938" t="s">
        <v>131</v>
      </c>
      <c r="D34" s="939" t="s">
        <v>529</v>
      </c>
      <c r="F34" s="937" t="str">
        <f t="shared" si="3"/>
        <v>Con ObservacionesCon Observaciones</v>
      </c>
      <c r="G34" s="950" t="s">
        <v>1720</v>
      </c>
      <c r="H34" s="950" t="s">
        <v>1720</v>
      </c>
      <c r="I34" s="950" t="s">
        <v>1720</v>
      </c>
    </row>
    <row r="35" spans="1:9" x14ac:dyDescent="0.25">
      <c r="A35" s="937" t="str">
        <f t="shared" si="2"/>
        <v>Limpia o Sin SalvedadesNO APLICA</v>
      </c>
      <c r="B35" s="939" t="s">
        <v>529</v>
      </c>
      <c r="C35" s="941" t="s">
        <v>460</v>
      </c>
      <c r="D35" s="939" t="s">
        <v>529</v>
      </c>
      <c r="F35" s="937" t="str">
        <f t="shared" si="3"/>
        <v>Con ObservacionesDesfavorable</v>
      </c>
      <c r="G35" s="950" t="s">
        <v>1720</v>
      </c>
      <c r="H35" s="949" t="s">
        <v>1721</v>
      </c>
      <c r="I35" s="949" t="s">
        <v>1721</v>
      </c>
    </row>
    <row r="36" spans="1:9" x14ac:dyDescent="0.25">
      <c r="A36" s="937" t="str">
        <f t="shared" si="2"/>
        <v>Con SalvedadesEfectivo</v>
      </c>
      <c r="B36" s="941" t="s">
        <v>534</v>
      </c>
      <c r="C36" s="939" t="s">
        <v>146</v>
      </c>
      <c r="D36" s="941" t="s">
        <v>534</v>
      </c>
    </row>
    <row r="37" spans="1:9" x14ac:dyDescent="0.25">
      <c r="A37" s="937" t="str">
        <f t="shared" si="2"/>
        <v>Con SalvedadesInefectivo</v>
      </c>
      <c r="B37" s="941" t="s">
        <v>534</v>
      </c>
      <c r="C37" s="938" t="s">
        <v>131</v>
      </c>
      <c r="D37" s="941" t="s">
        <v>534</v>
      </c>
    </row>
    <row r="38" spans="1:9" x14ac:dyDescent="0.25">
      <c r="A38" s="937" t="str">
        <f t="shared" si="2"/>
        <v>Con SalvedadesNO APLICA</v>
      </c>
      <c r="B38" s="941" t="s">
        <v>534</v>
      </c>
      <c r="C38" s="941" t="s">
        <v>460</v>
      </c>
      <c r="D38" s="941" t="s">
        <v>534</v>
      </c>
    </row>
    <row r="39" spans="1:9" ht="30" x14ac:dyDescent="0.25">
      <c r="F39" s="934" t="s">
        <v>1702</v>
      </c>
      <c r="G39" s="934" t="s">
        <v>1747</v>
      </c>
      <c r="H39" s="934" t="s">
        <v>1748</v>
      </c>
      <c r="I39" s="934" t="s">
        <v>1749</v>
      </c>
    </row>
    <row r="40" spans="1:9" x14ac:dyDescent="0.25">
      <c r="D40" s="410" t="str">
        <f>IF(D87="SI","Razonable",IF(D88="SI","Con Salvedades",IF(AND(D89="SI",D90="Predomina Incorrecciones"),"No Razonable",IF(AND(D89="SI",D90="Predomina Imposibilidades"),"Abstención",""))))</f>
        <v/>
      </c>
      <c r="F40" s="937" t="str">
        <f>+CONCATENATE(G40,H40)</f>
        <v>No RazonableNo Razonable</v>
      </c>
      <c r="G40" s="938" t="s">
        <v>1708</v>
      </c>
      <c r="H40" s="938" t="s">
        <v>1708</v>
      </c>
      <c r="I40" s="938" t="s">
        <v>1708</v>
      </c>
    </row>
    <row r="41" spans="1:9" x14ac:dyDescent="0.25">
      <c r="F41" s="937" t="str">
        <f t="shared" ref="F41:F64" si="4">+CONCATENATE(G41,H41)</f>
        <v>No RazonableAbstención</v>
      </c>
      <c r="G41" s="938" t="s">
        <v>1708</v>
      </c>
      <c r="H41" s="938" t="s">
        <v>544</v>
      </c>
      <c r="I41" s="938" t="s">
        <v>544</v>
      </c>
    </row>
    <row r="42" spans="1:9" x14ac:dyDescent="0.25">
      <c r="F42" s="937" t="str">
        <f t="shared" si="4"/>
        <v>No RazonableCon Salvedades</v>
      </c>
      <c r="G42" s="938" t="s">
        <v>1708</v>
      </c>
      <c r="H42" s="941" t="s">
        <v>534</v>
      </c>
      <c r="I42" s="938" t="s">
        <v>1708</v>
      </c>
    </row>
    <row r="43" spans="1:9" x14ac:dyDescent="0.25">
      <c r="F43" s="937" t="str">
        <f t="shared" si="4"/>
        <v>No RazonableRazonable</v>
      </c>
      <c r="G43" s="938" t="s">
        <v>1708</v>
      </c>
      <c r="H43" s="944" t="s">
        <v>883</v>
      </c>
      <c r="I43" s="938" t="s">
        <v>1708</v>
      </c>
    </row>
    <row r="44" spans="1:9" x14ac:dyDescent="0.25">
      <c r="F44" s="937" t="str">
        <f t="shared" si="4"/>
        <v>No RazonableNo Aplica</v>
      </c>
      <c r="G44" s="938" t="s">
        <v>1708</v>
      </c>
      <c r="H44" s="942" t="s">
        <v>1549</v>
      </c>
      <c r="I44" s="938" t="s">
        <v>1708</v>
      </c>
    </row>
    <row r="45" spans="1:9" x14ac:dyDescent="0.25">
      <c r="F45" s="937" t="str">
        <f t="shared" si="4"/>
        <v>AbstenciónNo Razonable</v>
      </c>
      <c r="G45" s="938" t="s">
        <v>544</v>
      </c>
      <c r="H45" s="938" t="s">
        <v>1708</v>
      </c>
      <c r="I45" s="938" t="s">
        <v>544</v>
      </c>
    </row>
    <row r="46" spans="1:9" x14ac:dyDescent="0.25">
      <c r="F46" s="937" t="str">
        <f t="shared" si="4"/>
        <v>AbstenciónAbstención</v>
      </c>
      <c r="G46" s="938" t="s">
        <v>544</v>
      </c>
      <c r="H46" s="938" t="s">
        <v>544</v>
      </c>
      <c r="I46" s="938" t="s">
        <v>544</v>
      </c>
    </row>
    <row r="47" spans="1:9" x14ac:dyDescent="0.25">
      <c r="F47" s="937" t="str">
        <f t="shared" si="4"/>
        <v>AbstenciónCon Salvedades</v>
      </c>
      <c r="G47" s="938" t="s">
        <v>544</v>
      </c>
      <c r="H47" s="941" t="s">
        <v>534</v>
      </c>
      <c r="I47" s="938" t="s">
        <v>544</v>
      </c>
    </row>
    <row r="48" spans="1:9" x14ac:dyDescent="0.25">
      <c r="F48" s="937" t="str">
        <f t="shared" si="4"/>
        <v>AbstenciónRazonable</v>
      </c>
      <c r="G48" s="938" t="s">
        <v>544</v>
      </c>
      <c r="H48" s="944" t="s">
        <v>883</v>
      </c>
      <c r="I48" s="938" t="s">
        <v>544</v>
      </c>
    </row>
    <row r="49" spans="6:9" x14ac:dyDescent="0.25">
      <c r="F49" s="937" t="str">
        <f t="shared" si="4"/>
        <v>AbstenciónNo Aplica</v>
      </c>
      <c r="G49" s="938" t="s">
        <v>544</v>
      </c>
      <c r="H49" s="942" t="s">
        <v>1549</v>
      </c>
      <c r="I49" s="938" t="s">
        <v>544</v>
      </c>
    </row>
    <row r="50" spans="6:9" x14ac:dyDescent="0.25">
      <c r="F50" s="937" t="str">
        <f t="shared" si="4"/>
        <v>Con SalvedadesNo Razonable</v>
      </c>
      <c r="G50" s="941" t="s">
        <v>534</v>
      </c>
      <c r="H50" s="938" t="s">
        <v>1708</v>
      </c>
      <c r="I50" s="938" t="s">
        <v>1708</v>
      </c>
    </row>
    <row r="51" spans="6:9" x14ac:dyDescent="0.25">
      <c r="F51" s="937" t="str">
        <f t="shared" si="4"/>
        <v>Con SalvedadesAbstención</v>
      </c>
      <c r="G51" s="941" t="s">
        <v>534</v>
      </c>
      <c r="H51" s="938" t="s">
        <v>544</v>
      </c>
      <c r="I51" s="938" t="s">
        <v>544</v>
      </c>
    </row>
    <row r="52" spans="6:9" x14ac:dyDescent="0.25">
      <c r="F52" s="937" t="str">
        <f t="shared" si="4"/>
        <v>Con SalvedadesCon Salvedades</v>
      </c>
      <c r="G52" s="941" t="s">
        <v>534</v>
      </c>
      <c r="H52" s="941" t="s">
        <v>534</v>
      </c>
      <c r="I52" s="941" t="s">
        <v>534</v>
      </c>
    </row>
    <row r="53" spans="6:9" x14ac:dyDescent="0.25">
      <c r="F53" s="937" t="str">
        <f t="shared" si="4"/>
        <v>Con SalvedadesRazonable</v>
      </c>
      <c r="G53" s="941" t="s">
        <v>534</v>
      </c>
      <c r="H53" s="944" t="s">
        <v>883</v>
      </c>
      <c r="I53" s="941" t="s">
        <v>534</v>
      </c>
    </row>
    <row r="54" spans="6:9" x14ac:dyDescent="0.25">
      <c r="F54" s="937" t="str">
        <f t="shared" si="4"/>
        <v>Con SalvedadesNo Aplica</v>
      </c>
      <c r="G54" s="941" t="s">
        <v>534</v>
      </c>
      <c r="H54" s="942" t="s">
        <v>1549</v>
      </c>
      <c r="I54" s="941" t="s">
        <v>534</v>
      </c>
    </row>
    <row r="55" spans="6:9" x14ac:dyDescent="0.25">
      <c r="F55" s="937" t="str">
        <f t="shared" si="4"/>
        <v>RazonableNo Razonable</v>
      </c>
      <c r="G55" s="944" t="s">
        <v>883</v>
      </c>
      <c r="H55" s="938" t="s">
        <v>1708</v>
      </c>
      <c r="I55" s="938" t="s">
        <v>1708</v>
      </c>
    </row>
    <row r="56" spans="6:9" x14ac:dyDescent="0.25">
      <c r="F56" s="937" t="str">
        <f t="shared" si="4"/>
        <v>RazonableAbstención</v>
      </c>
      <c r="G56" s="944" t="s">
        <v>883</v>
      </c>
      <c r="H56" s="938" t="s">
        <v>544</v>
      </c>
      <c r="I56" s="938" t="s">
        <v>544</v>
      </c>
    </row>
    <row r="57" spans="6:9" x14ac:dyDescent="0.25">
      <c r="F57" s="937" t="str">
        <f t="shared" si="4"/>
        <v>RazonableCon Salvedades</v>
      </c>
      <c r="G57" s="944" t="s">
        <v>883</v>
      </c>
      <c r="H57" s="941" t="s">
        <v>534</v>
      </c>
      <c r="I57" s="941" t="s">
        <v>534</v>
      </c>
    </row>
    <row r="58" spans="6:9" x14ac:dyDescent="0.25">
      <c r="F58" s="937" t="str">
        <f t="shared" si="4"/>
        <v>RazonableRazonable</v>
      </c>
      <c r="G58" s="944" t="s">
        <v>883</v>
      </c>
      <c r="H58" s="944" t="s">
        <v>883</v>
      </c>
      <c r="I58" s="944" t="s">
        <v>883</v>
      </c>
    </row>
    <row r="59" spans="6:9" x14ac:dyDescent="0.25">
      <c r="F59" s="937" t="str">
        <f t="shared" si="4"/>
        <v>RazonableNo Aplica</v>
      </c>
      <c r="G59" s="944" t="s">
        <v>883</v>
      </c>
      <c r="H59" s="942" t="s">
        <v>1549</v>
      </c>
      <c r="I59" s="944" t="s">
        <v>883</v>
      </c>
    </row>
    <row r="60" spans="6:9" x14ac:dyDescent="0.25">
      <c r="F60" s="937" t="str">
        <f t="shared" si="4"/>
        <v>No AplicaNo Razonable</v>
      </c>
      <c r="G60" s="942" t="s">
        <v>1549</v>
      </c>
      <c r="H60" s="938" t="s">
        <v>1708</v>
      </c>
      <c r="I60" s="938" t="s">
        <v>1708</v>
      </c>
    </row>
    <row r="61" spans="6:9" x14ac:dyDescent="0.25">
      <c r="F61" s="937" t="str">
        <f t="shared" si="4"/>
        <v>No AplicaAbstención</v>
      </c>
      <c r="G61" s="942" t="s">
        <v>1549</v>
      </c>
      <c r="H61" s="938" t="s">
        <v>544</v>
      </c>
      <c r="I61" s="938" t="s">
        <v>544</v>
      </c>
    </row>
    <row r="62" spans="6:9" x14ac:dyDescent="0.25">
      <c r="F62" s="937" t="str">
        <f t="shared" si="4"/>
        <v>No AplicaCon Salvedades</v>
      </c>
      <c r="G62" s="942" t="s">
        <v>1549</v>
      </c>
      <c r="H62" s="941" t="s">
        <v>534</v>
      </c>
      <c r="I62" s="941" t="s">
        <v>534</v>
      </c>
    </row>
    <row r="63" spans="6:9" x14ac:dyDescent="0.25">
      <c r="F63" s="937" t="str">
        <f t="shared" si="4"/>
        <v>No AplicaRazonable</v>
      </c>
      <c r="G63" s="942" t="s">
        <v>1549</v>
      </c>
      <c r="H63" s="944" t="s">
        <v>883</v>
      </c>
      <c r="I63" s="944" t="s">
        <v>883</v>
      </c>
    </row>
    <row r="64" spans="6:9" x14ac:dyDescent="0.25">
      <c r="F64" s="937" t="str">
        <f t="shared" si="4"/>
        <v>No AplicaNo Aplica</v>
      </c>
      <c r="G64" s="942" t="s">
        <v>1549</v>
      </c>
      <c r="H64" s="942" t="s">
        <v>1549</v>
      </c>
      <c r="I64" s="942" t="s">
        <v>1549</v>
      </c>
    </row>
  </sheetData>
  <conditionalFormatting sqref="B7:B10">
    <cfRule type="containsText" dxfId="357" priority="45" operator="containsText" text="Abstención">
      <formula>NOT(ISERROR(SEARCH("Abstención",B7)))</formula>
    </cfRule>
  </conditionalFormatting>
  <conditionalFormatting sqref="B30:B32">
    <cfRule type="containsText" dxfId="356" priority="39" operator="containsText" text="Abstención">
      <formula>NOT(ISERROR(SEARCH("Abstención",B30)))</formula>
    </cfRule>
  </conditionalFormatting>
  <conditionalFormatting sqref="D7:D10">
    <cfRule type="containsText" dxfId="355" priority="44" operator="containsText" text="Abstención">
      <formula>NOT(ISERROR(SEARCH("Abstención",D7)))</formula>
    </cfRule>
  </conditionalFormatting>
  <conditionalFormatting sqref="D30:D32">
    <cfRule type="containsText" dxfId="354" priority="37" operator="containsText" text="Abstención">
      <formula>NOT(ISERROR(SEARCH("Abstención",D30)))</formula>
    </cfRule>
  </conditionalFormatting>
  <conditionalFormatting sqref="G7:G10">
    <cfRule type="containsText" dxfId="353" priority="34" operator="containsText" text="Abstención">
      <formula>NOT(ISERROR(SEARCH("Abstención",G7)))</formula>
    </cfRule>
  </conditionalFormatting>
  <conditionalFormatting sqref="G30:G32">
    <cfRule type="containsText" dxfId="352" priority="24" operator="containsText" text="Abstención">
      <formula>NOT(ISERROR(SEARCH("Abstención",G30)))</formula>
    </cfRule>
  </conditionalFormatting>
  <conditionalFormatting sqref="G45:G49">
    <cfRule type="containsText" dxfId="351" priority="10" operator="containsText" text="Abstención">
      <formula>NOT(ISERROR(SEARCH("Abstención",G45)))</formula>
    </cfRule>
  </conditionalFormatting>
  <conditionalFormatting sqref="H4">
    <cfRule type="containsText" dxfId="350" priority="35" operator="containsText" text="Abstención">
      <formula>NOT(ISERROR(SEARCH("Abstención",H4)))</formula>
    </cfRule>
  </conditionalFormatting>
  <conditionalFormatting sqref="H8">
    <cfRule type="containsText" dxfId="349" priority="33" operator="containsText" text="Abstención">
      <formula>NOT(ISERROR(SEARCH("Abstención",H8)))</formula>
    </cfRule>
  </conditionalFormatting>
  <conditionalFormatting sqref="H12">
    <cfRule type="containsText" dxfId="348" priority="32" operator="containsText" text="Abstención">
      <formula>NOT(ISERROR(SEARCH("Abstención",H12)))</formula>
    </cfRule>
  </conditionalFormatting>
  <conditionalFormatting sqref="H16">
    <cfRule type="containsText" dxfId="347" priority="31" operator="containsText" text="Abstención">
      <formula>NOT(ISERROR(SEARCH("Abstención",H16)))</formula>
    </cfRule>
  </conditionalFormatting>
  <conditionalFormatting sqref="H27">
    <cfRule type="containsText" dxfId="346" priority="23" operator="containsText" text="Abstención">
      <formula>NOT(ISERROR(SEARCH("Abstención",H27)))</formula>
    </cfRule>
  </conditionalFormatting>
  <conditionalFormatting sqref="H30">
    <cfRule type="containsText" dxfId="345" priority="22" operator="containsText" text="Abstención">
      <formula>NOT(ISERROR(SEARCH("Abstención",H30)))</formula>
    </cfRule>
  </conditionalFormatting>
  <conditionalFormatting sqref="H46">
    <cfRule type="containsText" dxfId="344" priority="11" operator="containsText" text="Abstención">
      <formula>NOT(ISERROR(SEARCH("Abstención",H46)))</formula>
    </cfRule>
  </conditionalFormatting>
  <conditionalFormatting sqref="H33:I33">
    <cfRule type="containsText" dxfId="343" priority="20" operator="containsText" text="Abstención">
      <formula>NOT(ISERROR(SEARCH("Abstención",H33)))</formula>
    </cfRule>
  </conditionalFormatting>
  <conditionalFormatting sqref="H41:I41">
    <cfRule type="containsText" dxfId="342" priority="4" operator="containsText" text="Abstención">
      <formula>NOT(ISERROR(SEARCH("Abstención",H41)))</formula>
    </cfRule>
  </conditionalFormatting>
  <conditionalFormatting sqref="H51:I51">
    <cfRule type="containsText" dxfId="341" priority="3" operator="containsText" text="Abstención">
      <formula>NOT(ISERROR(SEARCH("Abstención",H51)))</formula>
    </cfRule>
  </conditionalFormatting>
  <conditionalFormatting sqref="H56:I56">
    <cfRule type="containsText" dxfId="340" priority="2" operator="containsText" text="Abstención">
      <formula>NOT(ISERROR(SEARCH("Abstención",H56)))</formula>
    </cfRule>
  </conditionalFormatting>
  <conditionalFormatting sqref="H61:I61">
    <cfRule type="containsText" dxfId="339" priority="1" operator="containsText" text="Abstención">
      <formula>NOT(ISERROR(SEARCH("Abstención",H61)))</formula>
    </cfRule>
  </conditionalFormatting>
  <conditionalFormatting sqref="I3:I12">
    <cfRule type="containsText" dxfId="338" priority="26" operator="containsText" text="NO">
      <formula>NOT(ISERROR(SEARCH("NO",I3)))</formula>
    </cfRule>
  </conditionalFormatting>
  <conditionalFormatting sqref="I15:I16">
    <cfRule type="containsText" dxfId="337" priority="28" operator="containsText" text="NO">
      <formula>NOT(ISERROR(SEARCH("NO",I15)))</formula>
    </cfRule>
  </conditionalFormatting>
  <conditionalFormatting sqref="I30:I31">
    <cfRule type="containsText" dxfId="336" priority="18" operator="containsText" text="Abstención">
      <formula>NOT(ISERROR(SEARCH("Abstención",I30)))</formula>
    </cfRule>
  </conditionalFormatting>
  <conditionalFormatting sqref="I45:I49">
    <cfRule type="containsText" dxfId="335" priority="5" operator="containsText" text="Abstención">
      <formula>NOT(ISERROR(SEARCH("Abstención",I45)))</formula>
    </cfRule>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277"/>
  <sheetViews>
    <sheetView tabSelected="1" topLeftCell="B1" zoomScaleNormal="100" workbookViewId="0">
      <selection activeCell="D12" sqref="D12:E13"/>
    </sheetView>
  </sheetViews>
  <sheetFormatPr baseColWidth="10" defaultColWidth="11.42578125" defaultRowHeight="21" x14ac:dyDescent="0.35"/>
  <cols>
    <col min="1" max="1" width="21" style="302" hidden="1" customWidth="1"/>
    <col min="2" max="2" width="35.5703125" style="302" customWidth="1"/>
    <col min="3" max="3" width="23.28515625" style="302" customWidth="1"/>
    <col min="4" max="4" width="21.28515625" style="302" customWidth="1"/>
    <col min="5" max="5" width="23.28515625" style="302" customWidth="1"/>
    <col min="6" max="6" width="18.5703125" style="302" customWidth="1"/>
    <col min="7" max="7" width="24" style="302" customWidth="1"/>
    <col min="8" max="8" width="22.85546875" style="302" customWidth="1"/>
    <col min="9" max="9" width="23.42578125" style="302" customWidth="1"/>
    <col min="10" max="10" width="26.28515625" style="302" customWidth="1"/>
    <col min="11" max="11" width="44.28515625" style="302" customWidth="1"/>
    <col min="12" max="12" width="13.140625" style="302" customWidth="1"/>
    <col min="13" max="13" width="14.28515625" style="302" customWidth="1"/>
    <col min="14" max="14" width="11.42578125" style="302"/>
    <col min="15" max="15" width="18.28515625" style="302" customWidth="1"/>
    <col min="16" max="18" width="11.42578125" style="302"/>
    <col min="19" max="19" width="49.7109375" style="302" customWidth="1"/>
    <col min="20" max="20" width="69.7109375" style="302" customWidth="1"/>
    <col min="21" max="21" width="16.7109375" style="302" customWidth="1"/>
    <col min="22" max="22" width="11.42578125" style="302" customWidth="1"/>
    <col min="23" max="23" width="36.7109375" style="302" customWidth="1"/>
    <col min="24" max="24" width="14.140625" style="302" customWidth="1"/>
    <col min="25" max="25" width="15.42578125" style="302" customWidth="1"/>
    <col min="26" max="26" width="13.7109375" style="302" customWidth="1"/>
    <col min="27" max="27" width="13.28515625" style="302" customWidth="1"/>
    <col min="28" max="16384" width="11.42578125" style="302"/>
  </cols>
  <sheetData>
    <row r="1" spans="1:15" ht="54" customHeight="1" x14ac:dyDescent="0.35">
      <c r="A1" s="1386"/>
      <c r="B1" s="1386"/>
      <c r="C1" s="1411" t="s">
        <v>1611</v>
      </c>
      <c r="D1" s="1412"/>
      <c r="E1" s="1412"/>
      <c r="F1" s="1412"/>
      <c r="G1" s="1412"/>
      <c r="H1" s="1412"/>
      <c r="I1" s="1412"/>
      <c r="J1" s="1412"/>
      <c r="K1" s="1147" t="s">
        <v>1789</v>
      </c>
    </row>
    <row r="2" spans="1:15" ht="27" customHeight="1" thickBot="1" x14ac:dyDescent="0.4">
      <c r="A2" s="1387"/>
      <c r="B2" s="1388"/>
      <c r="C2" s="1413"/>
      <c r="D2" s="1414"/>
      <c r="E2" s="1414"/>
      <c r="F2" s="1414"/>
      <c r="G2" s="1414"/>
      <c r="H2" s="1414"/>
      <c r="I2" s="1414"/>
      <c r="J2" s="1414"/>
      <c r="K2" s="317" t="s">
        <v>1791</v>
      </c>
    </row>
    <row r="3" spans="1:15" ht="42" customHeight="1" x14ac:dyDescent="0.35">
      <c r="A3" s="1389" t="s">
        <v>1612</v>
      </c>
      <c r="B3" s="1389"/>
      <c r="C3" s="1389"/>
      <c r="D3" s="1389"/>
      <c r="E3" s="1389"/>
      <c r="F3" s="1389"/>
      <c r="G3" s="1389"/>
      <c r="H3" s="1389"/>
      <c r="I3" s="1389"/>
      <c r="J3" s="1389"/>
      <c r="K3" s="1389"/>
    </row>
    <row r="4" spans="1:15" s="2024" customFormat="1" ht="32.25" customHeight="1" x14ac:dyDescent="0.35">
      <c r="B4" s="736" t="s">
        <v>0</v>
      </c>
      <c r="C4" s="1663" t="str">
        <f>_xlfn.IFNA(VLOOKUP(C5,LISTAS!F3:H100,3,),"")</f>
        <v xml:space="preserve">130000 - DIRECCIÓN SECTOR HÁBITAT Y AMBIENTE </v>
      </c>
      <c r="D4" s="1663"/>
      <c r="E4" s="1663"/>
      <c r="F4" s="1663"/>
      <c r="G4" s="1663"/>
      <c r="H4" s="631"/>
      <c r="I4" s="631"/>
      <c r="J4" s="631"/>
      <c r="K4" s="631"/>
    </row>
    <row r="5" spans="1:15" s="2024" customFormat="1" ht="31.5" customHeight="1" x14ac:dyDescent="0.35">
      <c r="B5" s="2025" t="s">
        <v>1281</v>
      </c>
      <c r="C5" s="2026" t="s">
        <v>606</v>
      </c>
      <c r="D5" s="1662"/>
      <c r="E5" s="1662"/>
      <c r="F5" s="1662"/>
      <c r="G5" s="1662"/>
      <c r="I5" s="736" t="s">
        <v>2</v>
      </c>
      <c r="J5" s="1279">
        <v>2023</v>
      </c>
      <c r="K5" s="743"/>
    </row>
    <row r="6" spans="1:15" s="2024" customFormat="1" ht="19.899999999999999" customHeight="1" x14ac:dyDescent="0.35">
      <c r="B6" s="736" t="s">
        <v>1781</v>
      </c>
      <c r="C6" s="1662">
        <v>2025</v>
      </c>
      <c r="D6" s="1662"/>
      <c r="E6" s="1662"/>
      <c r="F6" s="308"/>
      <c r="G6" s="2027"/>
      <c r="I6" s="736" t="s">
        <v>3</v>
      </c>
      <c r="J6" s="1278">
        <v>55</v>
      </c>
      <c r="K6" s="743"/>
      <c r="L6" s="2028"/>
    </row>
    <row r="7" spans="1:15" s="2024" customFormat="1" ht="19.899999999999999" customHeight="1" x14ac:dyDescent="0.35">
      <c r="B7" s="736" t="s">
        <v>4</v>
      </c>
      <c r="C7" s="1664">
        <v>45580</v>
      </c>
      <c r="D7" s="1664"/>
      <c r="E7" s="1664"/>
      <c r="F7" s="1664"/>
      <c r="G7" s="1664"/>
      <c r="I7" s="736" t="s">
        <v>1282</v>
      </c>
      <c r="J7" s="1280">
        <v>45580</v>
      </c>
      <c r="K7" s="1160"/>
      <c r="L7" s="2028"/>
    </row>
    <row r="8" spans="1:15" ht="26.25" customHeight="1" thickBot="1" x14ac:dyDescent="0.4">
      <c r="A8" s="1157"/>
      <c r="B8" s="1158"/>
      <c r="C8" s="1158"/>
      <c r="D8" s="1158"/>
      <c r="E8" s="1158"/>
      <c r="F8" s="1158"/>
      <c r="G8" s="1158"/>
      <c r="H8" s="1158"/>
      <c r="I8" s="1158"/>
      <c r="J8" s="1159"/>
      <c r="K8" s="1159"/>
    </row>
    <row r="9" spans="1:15" ht="26.25" customHeight="1" x14ac:dyDescent="0.35">
      <c r="A9" s="1394" t="s">
        <v>478</v>
      </c>
      <c r="B9" s="1395" t="s">
        <v>478</v>
      </c>
      <c r="C9" s="1398" t="s">
        <v>1613</v>
      </c>
      <c r="D9" s="1399" t="s">
        <v>521</v>
      </c>
      <c r="E9" s="1398"/>
      <c r="F9" s="1402" t="s">
        <v>1614</v>
      </c>
      <c r="G9" s="1403" t="s">
        <v>1615</v>
      </c>
      <c r="H9" s="1403"/>
      <c r="I9" s="1404"/>
      <c r="J9" s="1395" t="s">
        <v>1809</v>
      </c>
      <c r="K9" s="1381" t="s">
        <v>1835</v>
      </c>
    </row>
    <row r="10" spans="1:15" ht="26.25" customHeight="1" x14ac:dyDescent="0.35">
      <c r="A10" s="1394"/>
      <c r="B10" s="1396"/>
      <c r="C10" s="1398"/>
      <c r="D10" s="1399"/>
      <c r="E10" s="1398"/>
      <c r="F10" s="1402"/>
      <c r="G10" s="834" t="s">
        <v>193</v>
      </c>
      <c r="H10" s="834" t="s">
        <v>195</v>
      </c>
      <c r="I10" s="1186" t="s">
        <v>1616</v>
      </c>
      <c r="J10" s="1396"/>
      <c r="K10" s="1382"/>
    </row>
    <row r="11" spans="1:15" ht="26.25" customHeight="1" thickBot="1" x14ac:dyDescent="0.4">
      <c r="A11" s="1394"/>
      <c r="B11" s="1397"/>
      <c r="C11" s="1398"/>
      <c r="D11" s="1400"/>
      <c r="E11" s="1401"/>
      <c r="F11" s="1402"/>
      <c r="G11" s="835">
        <v>0.33333332999999998</v>
      </c>
      <c r="H11" s="836">
        <v>0.33333333329999998</v>
      </c>
      <c r="I11" s="1187">
        <v>0.33333333329999998</v>
      </c>
      <c r="J11" s="1397"/>
      <c r="K11" s="1383"/>
    </row>
    <row r="12" spans="1:15" ht="22.5" customHeight="1" x14ac:dyDescent="0.35">
      <c r="A12" s="1308" t="s">
        <v>495</v>
      </c>
      <c r="B12" s="1374" t="s">
        <v>495</v>
      </c>
      <c r="C12" s="1326">
        <f>IF(VLOOKUP($C$5,TablaSujetos215[],3,FALSE)="MIXTA&lt;50",VLOOKUP(A12,TablaMacroprocesos43817[],4,FALSE),IF(VLOOKUP($C$5,TablaSujetos215[],3,FALSE)="MIXTA&gt;50",VLOOKUP(A12,TablaMacroprocesos43817[],3,FALSE),IF(VLOOKUP($C$5,TablaSujetos215[],3,FALSE)="CORPORACION",VLOOKUP(A12,TablaMacroprocesos43817[],5,FALSE),IF(VLOOKUP($C$5,TablaSujetos215[],1,FALSE)="100 - Concejo de Bogotá D.C.",0.55,VLOOKUP(A12,TablaMacroprocesos43817[],2,FALSE)))))</f>
        <v>0.35</v>
      </c>
      <c r="D12" s="1409" t="s">
        <v>528</v>
      </c>
      <c r="E12" s="1410"/>
      <c r="F12" s="1371">
        <f>IF(VLOOKUP($C$5,TablaSujetos215[],3,FALSE)="PUBLICA con ing",VLOOKUP(D12,TablaProcesos516[],2,FALSE),IF(VLOOKUP($C$5,TablaSujetos215[],3,FALSE)="PUBLICA con ing&gt;50",VLOOKUP(D12,TablaProcesos516[],3,FALSE),IF(VLOOKUP($C$5,TablaSujetos215[],3,FALSE)="PUBLICA",VLOOKUP(D12,TablaProcesos516[],4,FALSE),IF(VLOOKUP($C$5,TablaSujetos215[],3,FALSE)="MIXTA&gt;50 sin ing",VLOOKUP(D12,TablaProcesos516[],5,FALSE),IF(VLOOKUP($C$5,TablaSujetos215[],3,FALSE)="MIXTA&gt;50",VLOOKUP(D12,TablaProcesos516[],6,FALSE),IF(VLOOKUP($C$5,TablaSujetos215[],3,FALSE)="MIXTA&lt;50",VLOOKUP(D12,TablaProcesos516[],7,FALSE),IF(VLOOKUP($C$5,TablaSujetos215[],3,FALSE)="CORPORACION",VLOOKUP(D12,TablaProcesos516[],8,FALSE),IF(F14="NO APLICA",1,VLOOKUP(D12,TablaProcesos516[],9,FALSE)))))))))</f>
        <v>0.6</v>
      </c>
      <c r="G12" s="2029">
        <f>+'HALLAZGOS OPINIÓN_FIN'!H163</f>
        <v>1</v>
      </c>
      <c r="H12" s="1372"/>
      <c r="I12" s="1373"/>
      <c r="J12" s="1362">
        <f>IFERROR(IF(C12="No Aplica","No Aplica",IF(F12="No Aplica","No Aplica",(F12*G12))),"")</f>
        <v>0.6</v>
      </c>
      <c r="K12" s="1162" t="s">
        <v>1810</v>
      </c>
    </row>
    <row r="13" spans="1:15" ht="24.75" customHeight="1" x14ac:dyDescent="0.35">
      <c r="A13" s="1309"/>
      <c r="B13" s="1375"/>
      <c r="C13" s="1327"/>
      <c r="D13" s="1407"/>
      <c r="E13" s="1408"/>
      <c r="F13" s="1319"/>
      <c r="G13" s="2030"/>
      <c r="H13" s="1337"/>
      <c r="I13" s="1307"/>
      <c r="J13" s="1363"/>
      <c r="K13" s="2034" t="str">
        <f>IF(G12=100%,"Limpia o Sin Salvedades",IF(G12=75%,"Con Salvedades",IF(G12=0%,"Negativa","Abstención")))</f>
        <v>Limpia o Sin Salvedades</v>
      </c>
      <c r="L13" s="837"/>
      <c r="M13" s="837"/>
    </row>
    <row r="14" spans="1:15" ht="30" customHeight="1" x14ac:dyDescent="0.35">
      <c r="A14" s="1309"/>
      <c r="B14" s="1375"/>
      <c r="C14" s="1327"/>
      <c r="D14" s="1405" t="s">
        <v>533</v>
      </c>
      <c r="E14" s="1406"/>
      <c r="F14" s="1318">
        <f>IF(VLOOKUP($C$5,TablaSujetos215[],3,FALSE)="PUBLICA con ing",VLOOKUP(D14,TablaProcesos516[],2,FALSE),IF(VLOOKUP($C$5,TablaSujetos215[],3,FALSE)="PUBLICA sin ing",VLOOKUP(D14,TablaProcesos516[],3,FALSE),IF(VLOOKUP($C$5,TablaSujetos215[],3,FALSE)="PUBLICA",VLOOKUP(D14,TablaProcesos516[],4,FALSE),IF(VLOOKUP($C$5,TablaSujetos215[],3,FALSE)="MIXTA&gt;50 sin Ing",VLOOKUP(D14,TablaProcesos516[],5,FALSE),IF(VLOOKUP($C$5,TablaSujetos215[],3,FALSE)="MIXTA&gt;50",VLOOKUP(D14,TablaProcesos516[],6,FALSE),IF(VLOOKUP($C$5,TablaSujetos215[],3,FALSE)="MIXTA&lt;50",VLOOKUP(D14,TablaProcesos516[],7,FALSE),IF(VLOOKUP($C$5,TablaSujetos215[],3,FALSE)="CORPORACION",VLOOKUP(D14,TablaProcesos516[],8,FALSE),"No Aplica")))))))</f>
        <v>0.4</v>
      </c>
      <c r="G14" s="2031">
        <f>IF(F14="No Aplica","No Aplica",IF(F14&gt;1%,'DESEMPEÑO FINANCIERO'!I17))</f>
        <v>0.78662499999999991</v>
      </c>
      <c r="H14" s="2031">
        <f>IF(F14="No Aplica","No Aplica",IF(F14&gt;1%,'DESEMPEÑO FINANCIERO'!J17))</f>
        <v>0.82652941176470585</v>
      </c>
      <c r="I14" s="1305"/>
      <c r="J14" s="1364">
        <f>IFERROR(IF(C12="No Aplica","No Aplica",IF(F14="No Aplica","No Aplica",AVERAGE(G14:I15)*F14)),"")</f>
        <v>0.32263088235294113</v>
      </c>
      <c r="K14" s="1163" t="s">
        <v>1617</v>
      </c>
      <c r="L14" s="837"/>
      <c r="M14" s="837"/>
    </row>
    <row r="15" spans="1:15" ht="23.45" customHeight="1" x14ac:dyDescent="0.35">
      <c r="A15" s="1309"/>
      <c r="B15" s="1375"/>
      <c r="C15" s="1366"/>
      <c r="D15" s="1407"/>
      <c r="E15" s="1408"/>
      <c r="F15" s="1319"/>
      <c r="G15" s="2032"/>
      <c r="H15" s="2032"/>
      <c r="I15" s="1307"/>
      <c r="J15" s="1363"/>
      <c r="K15" s="1274" t="str">
        <f>IF(F14="No Aplica","No Aplica",IF(AND(AVERAGE(G14:H14)&gt;=75%,AVERAGE(G14:H14)&lt;=100%),"Efectivo","Inefectivo"))</f>
        <v>Efectivo</v>
      </c>
      <c r="L15" s="837"/>
      <c r="M15" s="837"/>
    </row>
    <row r="16" spans="1:15" ht="35.25" customHeight="1" thickBot="1" x14ac:dyDescent="0.4">
      <c r="A16" s="1310"/>
      <c r="B16" s="1376"/>
      <c r="C16" s="1422" t="s">
        <v>1618</v>
      </c>
      <c r="D16" s="1422"/>
      <c r="E16" s="1423"/>
      <c r="F16" s="838">
        <f>SUM(F12:F14)</f>
        <v>1</v>
      </c>
      <c r="G16" s="952">
        <f>IFERROR(IF($C$12="No Aplica","No Aplica",IF($F$12="No Aplica",($F$14*G14),IF($F$14="No Aplica",($F$12*G12),($F$12*G12)+($F$14*G14)))),"")</f>
        <v>0.91464999999999996</v>
      </c>
      <c r="H16" s="953">
        <f>IFERROR(IF(C12="No Aplica","No Aplica",IF($F$14="No Aplica","No Aplica",H14)),"")</f>
        <v>0.82652941176470585</v>
      </c>
      <c r="I16" s="954"/>
      <c r="J16" s="1161">
        <f>SUM(J12:J15)</f>
        <v>0.92263088235294111</v>
      </c>
      <c r="K16" s="1165" t="s">
        <v>149</v>
      </c>
      <c r="L16" s="839"/>
      <c r="M16" s="837"/>
      <c r="O16" s="840"/>
    </row>
    <row r="17" spans="1:16" ht="38.450000000000003" customHeight="1" x14ac:dyDescent="0.35">
      <c r="A17" s="1365" t="s">
        <v>501</v>
      </c>
      <c r="B17" s="1308" t="s">
        <v>1619</v>
      </c>
      <c r="C17" s="1326">
        <f>IF(VLOOKUP($C$5,TablaSujetos215[],3,FALSE)="MIXTA&lt;50",VLOOKUP(A17,TablaMacroprocesos43817[],4,FALSE),IF(VLOOKUP($C$5,TablaSujetos215[],3,FALSE)="MIXTA&gt;50",VLOOKUP(A17,TablaMacroprocesos43817[],3,FALSE),IF(VLOOKUP($C$5,TablaSujetos215[],3,FALSE)="CORPORACION",VLOOKUP(A17,TablaMacroprocesos43817[],5,FALSE),IF(VLOOKUP($C$5,TablaSujetos215[],1,FALSE)="100 - Concejo de Bogotá D.C.",0.45,VLOOKUP(A17,TablaMacroprocesos43817[],2,FALSE)))))</f>
        <v>0.25</v>
      </c>
      <c r="D17" s="1367" t="s">
        <v>501</v>
      </c>
      <c r="E17" s="1370" t="s">
        <v>537</v>
      </c>
      <c r="F17" s="1371">
        <f>IF(VLOOKUP($C$5,TablaSujetos215[],3,FALSE)="PUBLICA con ing",VLOOKUP(E17,TablaProcesos516[],2,FALSE),IF(VLOOKUP($C$5,TablaSujetos215[],3,FALSE)="PUBLICA sin ing",VLOOKUP(E17,TablaProcesos516[],3,FALSE),IF(VLOOKUP($C$5,TablaSujetos215[],3,FALSE)="PUBLICA",VLOOKUP(E17,TablaProcesos516[],4,FALSE),IF(VLOOKUP($C$5,TablaSujetos215[],3,FALSE)="MIXTA&gt;50 sin Ing",VLOOKUP(E17,TablaProcesos516[],5,FALSE),IF(VLOOKUP($C$5,TablaSujetos215[],3,FALSE)="MIXTA&gt;50",VLOOKUP(E17,TablaProcesos516[],6,FALSE),IF(VLOOKUP($C$5,TablaSujetos215[],3,FALSE)="MIXTA&lt;50",VLOOKUP(E17,TablaProcesos516[],7,FALSE),IF(VLOOKUP($C$5,TablaSujetos215[],3,FALSE)="CORPORACION",VLOOKUP(E17,TablaProcesos516[],8,FALSE),IF(VLOOKUP($C$5,TablaSujetos215[],1,FALSE)=LISTAS!F5,"No Aplica",VLOOKUP(E17,TablaProcesos516[],9,FALSE)))))))))</f>
        <v>0.4</v>
      </c>
      <c r="G17" s="2033">
        <f>IF(F17="No Aplica","No Aplica",IF(F17&gt;1%,'HALLAZGOS CONCEPTO_PRES'!E99))</f>
        <v>1</v>
      </c>
      <c r="H17" s="1372"/>
      <c r="I17" s="1373"/>
      <c r="J17" s="1362">
        <f>IFERROR(IF(C17="No Aplica","No aplica",IF(F17="No Aplica","No Aplica",(F17*G17))),"")</f>
        <v>0.4</v>
      </c>
      <c r="K17" s="1162" t="s">
        <v>1813</v>
      </c>
      <c r="O17" s="840"/>
      <c r="P17" s="840"/>
    </row>
    <row r="18" spans="1:16" ht="28.9" customHeight="1" x14ac:dyDescent="0.35">
      <c r="A18" s="1312"/>
      <c r="B18" s="1309"/>
      <c r="C18" s="1327"/>
      <c r="D18" s="1368"/>
      <c r="E18" s="1317"/>
      <c r="F18" s="1319"/>
      <c r="G18" s="2032"/>
      <c r="H18" s="1337"/>
      <c r="I18" s="1307"/>
      <c r="J18" s="1363"/>
      <c r="K18" s="1274" t="str">
        <f>IF(F17="No Aplica","No Aplica",IF(AND(AVERAGE(G17)&gt;=75%,AVERAGE(G17)&lt;=100%),"Razonable",IF(AND(AVERAGE(G17)&gt;=65%,AVERAGE(G17)&lt;75%),"Con Salvedades","No Razonable")))</f>
        <v>Razonable</v>
      </c>
      <c r="O18" s="840"/>
      <c r="P18" s="840"/>
    </row>
    <row r="19" spans="1:16" ht="34.15" customHeight="1" x14ac:dyDescent="0.35">
      <c r="A19" s="1312"/>
      <c r="B19" s="1309"/>
      <c r="C19" s="1327"/>
      <c r="D19" s="1368"/>
      <c r="E19" s="1316" t="s">
        <v>543</v>
      </c>
      <c r="F19" s="1318">
        <f>IF(VLOOKUP($C$5,TablaSujetos215[],3,FALSE)="PUBLICA con ing",VLOOKUP(E19,TablaProcesos516[],2,FALSE),IF(VLOOKUP($C$5,TablaSujetos215[],3,FALSE)="PUBLICA sin ing",VLOOKUP(E19,TablaProcesos516[],3,FALSE),IF(VLOOKUP($C$5,TablaSujetos215[],3,FALSE)="PUBLICA",VLOOKUP(E19,TablaProcesos516[],4,FALSE),IF(VLOOKUP($C$5,TablaSujetos215[],3,FALSE)="MIXTA&gt;50 sin Ing",VLOOKUP(E19,TablaProcesos516[],3,FALSE),IF(VLOOKUP($C$5,TablaSujetos215[],3,FALSE)="MIXTA&gt;50",VLOOKUP(E19,TablaProcesos516[],6,FALSE),IF(VLOOKUP($C$5,TablaSujetos215[],3,FALSE)="MIXTA&lt;50",VLOOKUP(E19,TablaProcesos516[],7,FALSE),IF(VLOOKUP($C$5,TablaSujetos215[],3,FALSE)="CORPORACION",VLOOKUP(E19,TablaProcesos516[],8,FALSE),IF(VLOOKUP($C$5,TablaSujetos215[],1,FALSE)="CONCEJO","NO APLICA",VLOOKUP(E19,TablaProcesos516[],9,FALSE)))))))))</f>
        <v>0.6</v>
      </c>
      <c r="G19" s="2031">
        <f>IF(F19="No Aplica","No Aplica",IF(F19&gt;1%,'HALLAZGOS CONCEPTO_PRES'!E100))</f>
        <v>1</v>
      </c>
      <c r="H19" s="1336"/>
      <c r="I19" s="1305"/>
      <c r="J19" s="1364">
        <f>IFERROR(IF(C19="No Aplica","No Aplica",IF(F19="No Aplica","No Aplica",(F19*G19))),"")</f>
        <v>0.6</v>
      </c>
      <c r="K19" s="1163" t="s">
        <v>1812</v>
      </c>
      <c r="M19" s="841"/>
      <c r="O19" s="840"/>
    </row>
    <row r="20" spans="1:16" ht="24.6" customHeight="1" x14ac:dyDescent="0.35">
      <c r="A20" s="1312"/>
      <c r="B20" s="1309"/>
      <c r="C20" s="1327"/>
      <c r="D20" s="1369"/>
      <c r="E20" s="1317"/>
      <c r="F20" s="1319"/>
      <c r="G20" s="2032"/>
      <c r="H20" s="1337"/>
      <c r="I20" s="1307"/>
      <c r="J20" s="1363"/>
      <c r="K20" s="1274" t="str">
        <f>IF(F19="No Aplica","No Aplica",IF(AND(AVERAGE(G19)&gt;=75%,AVERAGE(G19)&lt;=100%),"Razonable",IF(AND(AVERAGE(G19)&gt;=65%,AVERAGE(G19)&lt;75%),"Con Salvedades","No Razonable")))</f>
        <v>Razonable</v>
      </c>
      <c r="M20" s="841"/>
    </row>
    <row r="21" spans="1:16" ht="28.9" customHeight="1" x14ac:dyDescent="0.35">
      <c r="A21" s="1313"/>
      <c r="B21" s="1309"/>
      <c r="C21" s="1327"/>
      <c r="D21" s="1352" t="s">
        <v>1620</v>
      </c>
      <c r="E21" s="1353"/>
      <c r="F21" s="1379">
        <f>IF(C17="No Aplica","No Aplica",SUM(F17:F20))</f>
        <v>1</v>
      </c>
      <c r="G21" s="1380">
        <f>IFERROR(IF(C17="No Aplica","No Aplica",IF(F17="No Aplica",(F19*G19),IF(F19="No Aplica",(F17*G17),(F17*G17)+(F19*G19)))),"")</f>
        <v>1</v>
      </c>
      <c r="H21" s="1336"/>
      <c r="I21" s="1305"/>
      <c r="J21" s="1434">
        <f>SUM(J17:J20)</f>
        <v>1</v>
      </c>
      <c r="K21" s="1163" t="s">
        <v>1814</v>
      </c>
      <c r="M21" s="841"/>
    </row>
    <row r="22" spans="1:16" ht="22.9" customHeight="1" x14ac:dyDescent="0.35">
      <c r="A22" s="1312"/>
      <c r="B22" s="1309"/>
      <c r="C22" s="1366"/>
      <c r="D22" s="1377"/>
      <c r="E22" s="1378"/>
      <c r="F22" s="1357"/>
      <c r="G22" s="1359"/>
      <c r="H22" s="1337"/>
      <c r="I22" s="1307"/>
      <c r="J22" s="1435"/>
      <c r="K22" s="1274" t="str">
        <f>IF(F21="No Aplica","No Aplica",IF(AND(AVERAGE(G21)&gt;=75%,AVERAGE(G21)&lt;=100%),"Razonable",IF(AND(AVERAGE(G21)&gt;=65%,AVERAGE(G21)&lt;75%),"Con Salvedades","No Razonable")))</f>
        <v>Razonable</v>
      </c>
      <c r="M22" s="841"/>
      <c r="O22" s="842"/>
    </row>
    <row r="23" spans="1:16" ht="16.899999999999999" customHeight="1" x14ac:dyDescent="0.35">
      <c r="A23" s="947"/>
      <c r="B23" s="1309"/>
      <c r="C23" s="1338">
        <f>IF(VLOOKUP($C$5,TablaSujetos215[],1,FALSE)="100 - Concejo de Bogotá D.C.","No Aplica",IF(VLOOKUP($C$5,TablaSujetos215[],3,FALSE)="MIXTA&lt;50",VLOOKUP(A24,TablaMacroprocesos43817[],4,FALSE),IF(VLOOKUP($C$5,TablaSujetos215[],3,FALSE)="MIXTA&gt;50",VLOOKUP(A24,TablaMacroprocesos43817[],3,FALSE),IF(VLOOKUP($C$5,TablaSujetos215[],3,FALSE)="CORPORACION",VLOOKUP(A24,TablaMacroprocesos43817[],5,FALSE),VLOOKUP(A24,TablaMacroprocesos43817[],2,FALSE)))))</f>
        <v>0.4</v>
      </c>
      <c r="D23" s="1339" t="s">
        <v>1621</v>
      </c>
      <c r="E23" s="1342" t="s">
        <v>1700</v>
      </c>
      <c r="F23" s="1350">
        <f>IF(VLOOKUP($C$5,TablaSujetos215[],3,FALSE)="MIXTA&lt;50",VLOOKUP(E23,TablaProcesos516[],4,FALSE),IF(VLOOKUP($C$5,TablaSujetos215[],3,FALSE)="MIXTA&gt;50",VLOOKUP(E23,TablaProcesos516[],3,FALSE),IF(VLOOKUP($C$5,TablaSujetos215[],3,FALSE)="CORPORACION",VLOOKUP(E23,TablaProcesos516[],5,FALSE),IF(VLOOKUP($C$5,TablaSujetos215[],1,FALSE)="100 - Concejo de Bogotá D.C.","No Aplica",VLOOKUP(E23,TablaProcesos516[],2,FALSE)))))</f>
        <v>0.4</v>
      </c>
      <c r="G23" s="2035">
        <f>IF(F23="No Aplica","No Aplica",IF('PLANES Y PROYECTOS'!D11="PLAN ESTRATEGICO INSTITUCIONAL o CORPORATIVO o el que haga sus veces",'PLANES Y PROYECTOS'!H11,IF('PLANES Y PROYECTOS'!D11="PLANES Y PROYECTOS",'PLANES Y PROYECTOS'!I16)))</f>
        <v>0.83174274255156599</v>
      </c>
      <c r="H23" s="2035">
        <f>IF(F23="No Aplica","No Aplica",IF('PLANES Y PROYECTOS'!D11="PLAN ESTRATEGICO INSTITUCIONAL o CORPORATIVO o el que haga sus veces",'PLANES Y PROYECTOS'!H12,IF('PLANES Y PROYECTOS'!D11="PLANES Y PROYECTOS",'PLANES Y PROYECTOS'!L16)))</f>
        <v>0.85118442279515605</v>
      </c>
      <c r="I23" s="1305"/>
      <c r="J23" s="1440">
        <f>IFERROR(IF(C23="No Aplica","No Aplica",IF(F23="No Aplica","No Aplica",AVERAGE(G23:I24)*F23)),"")</f>
        <v>0.33658543306934441</v>
      </c>
      <c r="K23" s="2036" t="s">
        <v>1725</v>
      </c>
      <c r="M23" s="841"/>
      <c r="O23" s="842"/>
    </row>
    <row r="24" spans="1:16" ht="19.899999999999999" customHeight="1" x14ac:dyDescent="0.35">
      <c r="A24" s="1311" t="s">
        <v>510</v>
      </c>
      <c r="B24" s="1309"/>
      <c r="C24" s="1327"/>
      <c r="D24" s="1340"/>
      <c r="E24" s="1343"/>
      <c r="F24" s="1351"/>
      <c r="G24" s="2037"/>
      <c r="H24" s="2037"/>
      <c r="I24" s="1306"/>
      <c r="J24" s="1441"/>
      <c r="K24" s="2038"/>
      <c r="M24" s="841"/>
      <c r="O24" s="840"/>
    </row>
    <row r="25" spans="1:16" ht="19.899999999999999" customHeight="1" x14ac:dyDescent="0.35">
      <c r="A25" s="1311"/>
      <c r="B25" s="1309"/>
      <c r="C25" s="1327"/>
      <c r="D25" s="1340"/>
      <c r="E25" s="1343"/>
      <c r="F25" s="1351"/>
      <c r="G25" s="2037"/>
      <c r="H25" s="2037"/>
      <c r="I25" s="1306"/>
      <c r="J25" s="1441"/>
      <c r="K25" s="1315" t="str">
        <f>IF(F23="No Aplica","No Aplica",IF(AND(AVERAGE(G23:H23)&gt;=75%,AVERAGE(G23:H23)&lt;=100%),"Favorable",IF(AND(AVERAGE(G23:H23)&gt;=65%,AVERAGE(G23:H23)&lt;75%),"Con Observaciones","Desfavorable")))</f>
        <v>Favorable</v>
      </c>
      <c r="M25" s="841"/>
      <c r="O25" s="840"/>
    </row>
    <row r="26" spans="1:16" ht="15.75" customHeight="1" x14ac:dyDescent="0.35">
      <c r="A26" s="1312"/>
      <c r="B26" s="1309"/>
      <c r="C26" s="1327"/>
      <c r="D26" s="1340"/>
      <c r="E26" s="1317"/>
      <c r="F26" s="1319"/>
      <c r="G26" s="2030"/>
      <c r="H26" s="2030"/>
      <c r="I26" s="1307"/>
      <c r="J26" s="1442"/>
      <c r="K26" s="1315"/>
      <c r="M26" s="841"/>
      <c r="O26" s="842"/>
    </row>
    <row r="27" spans="1:16" ht="19.149999999999999" customHeight="1" x14ac:dyDescent="0.35">
      <c r="A27" s="1312"/>
      <c r="B27" s="1309"/>
      <c r="C27" s="1327"/>
      <c r="D27" s="1340"/>
      <c r="E27" s="1316" t="s">
        <v>1701</v>
      </c>
      <c r="F27" s="1318">
        <f>IF(VLOOKUP($C$5,TablaSujetos215[],3,FALSE)="MIXTA&lt;50",VLOOKUP(E27,TablaProcesos516[],4,FALSE),IF(VLOOKUP($C$5,TablaSujetos215[],3,FALSE)="MIXTA&gt;50",VLOOKUP(E27,TablaProcesos516[],3,FALSE),IF(VLOOKUP($C$5,TablaSujetos215[],3,FALSE)="CORPORACION",VLOOKUP(E27,TablaProcesos516[],5,FALSE),IF(VLOOKUP($C$5,TablaSujetos215[],1,FALSE)="100 - Concejo de Bogotá D.C.","No Aplica",VLOOKUP(E27,TablaProcesos516[],2,FALSE)))))</f>
        <v>0.6</v>
      </c>
      <c r="G27" s="2031">
        <f>IF(F27="No Aplica","No Aplica",IF(F27&gt;1%,'CALIFICACIÓN GASTO PÚBLICO'!C16))</f>
        <v>0.73269837205523991</v>
      </c>
      <c r="H27" s="2031">
        <f>IF(F27="No Aplica","No Aplica",IF(F27&gt;1%,'CALIFICACIÓN GASTO PÚBLICO'!C17))</f>
        <v>0.7380806175037109</v>
      </c>
      <c r="I27" s="2039">
        <f>IF(F27="No Aplica","No Aplica",IF(F27&gt;1%,'CALIFICACIÓN GASTO PÚBLICO'!C15))</f>
        <v>0.73259884790203089</v>
      </c>
      <c r="J27" s="1436">
        <f>IFERROR(IF(C23="No Aplica","No Aplica",IF(F27="No Aplica","No Aplica",AVERAGE(G27:I27)*F27)),"")</f>
        <v>0.44067556749219644</v>
      </c>
      <c r="K27" s="2040" t="s">
        <v>1811</v>
      </c>
      <c r="M27" s="841"/>
    </row>
    <row r="28" spans="1:16" ht="27.6" customHeight="1" x14ac:dyDescent="0.35">
      <c r="A28" s="1312"/>
      <c r="B28" s="1309"/>
      <c r="C28" s="1327"/>
      <c r="D28" s="1341"/>
      <c r="E28" s="1317"/>
      <c r="F28" s="1319"/>
      <c r="G28" s="2032"/>
      <c r="H28" s="2032"/>
      <c r="I28" s="2041"/>
      <c r="J28" s="1437"/>
      <c r="K28" s="1274" t="str">
        <f>IF(F27="No Aplica","No Aplica",IF(AND(AVERAGE(G27:I27)&gt;=75%,AVERAGE(G27:I27)&lt;=100%),"Favorable",IF(AND(AVERAGE(G27:I27)&gt;=65%,AVERAGE(G27:I27)&lt;75%),"Con Observaciones","Desfavorable")))</f>
        <v>Con Observaciones</v>
      </c>
      <c r="M28" s="841"/>
    </row>
    <row r="29" spans="1:16" ht="35.450000000000003" customHeight="1" x14ac:dyDescent="0.35">
      <c r="A29" s="1313"/>
      <c r="B29" s="1309"/>
      <c r="C29" s="1327"/>
      <c r="D29" s="1352" t="s">
        <v>1726</v>
      </c>
      <c r="E29" s="1353"/>
      <c r="F29" s="1356">
        <f>IF(C23="No Aplica","No Aplica",SUM(F23:F28))</f>
        <v>1</v>
      </c>
      <c r="G29" s="1358">
        <f>IFERROR(IF($C$23="No Aplica","No Aplica",IF($F$23="No Aplica",($F$27*G27),IF($F$27="No Aplica",($F$23*G23),($F$23*G23)+($F$27*G27)))),"")</f>
        <v>0.77231612025377039</v>
      </c>
      <c r="H29" s="1358">
        <f>IFERROR(IF($C$23="No Aplica","No Aplica",IF($F$23="No Aplica",($F$27*H27),IF($F$27="No Aplica",($F$23*H23),($F$23*H23)+($F$27*H27)))),"")</f>
        <v>0.78332213962028896</v>
      </c>
      <c r="I29" s="1360">
        <f>IFERROR(IF(C23="No Aplica","No Aplica",IF($F$27="No Aplica","No Aplica",I27)),"")</f>
        <v>0.73259884790203089</v>
      </c>
      <c r="J29" s="1434">
        <f>IF(C23="No Aplica","No Aplica",SUM(J23:J28))</f>
        <v>0.77726100056154079</v>
      </c>
      <c r="K29" s="1163" t="s">
        <v>1815</v>
      </c>
      <c r="M29" s="841"/>
    </row>
    <row r="30" spans="1:16" ht="28.9" customHeight="1" thickBot="1" x14ac:dyDescent="0.4">
      <c r="A30" s="1314"/>
      <c r="B30" s="1309"/>
      <c r="C30" s="1327"/>
      <c r="D30" s="1354"/>
      <c r="E30" s="1355"/>
      <c r="F30" s="1357"/>
      <c r="G30" s="1359"/>
      <c r="H30" s="1359"/>
      <c r="I30" s="1361"/>
      <c r="J30" s="1435"/>
      <c r="K30" s="1164" t="str">
        <f>IF(F29="No Aplica","No Aplica",IF(AND(AVERAGE(G29:I29)&gt;=75%,AVERAGE(G29:I29)&lt;=100%),"Favorable",IF(AND(AVERAGE(G29:I29)&gt;=65%,AVERAGE(G29:I29)&lt;75%),"Con Observaciones","Desfavorable")))</f>
        <v>Favorable</v>
      </c>
      <c r="M30" s="841"/>
    </row>
    <row r="31" spans="1:16" ht="35.25" customHeight="1" x14ac:dyDescent="0.35">
      <c r="A31" s="1154"/>
      <c r="B31" s="1309"/>
      <c r="C31" s="1424" t="s">
        <v>1816</v>
      </c>
      <c r="D31" s="1424"/>
      <c r="E31" s="1425"/>
      <c r="F31" s="1428">
        <f>IFERROR(IF(F21="No Aplica","No Aplica",IF(F29="No Aplica","No Aplica",AVERAGE(F21,F29))),"")</f>
        <v>1</v>
      </c>
      <c r="G31" s="1430">
        <f>IFERROR(IF(G21="No Aplica","No Aplica",IF(G29="No Aplica","No Aplica",AVERAGE(G21,G29))),"")</f>
        <v>0.88615806012688525</v>
      </c>
      <c r="H31" s="1432">
        <f>IFERROR(IF(H21="No Aplica","No Aplica",IF(H29="No Aplica","No Aplica",AVERAGE(H21,H29))),"")</f>
        <v>0.78332213962028896</v>
      </c>
      <c r="I31" s="1433">
        <f>IFERROR(IF(I21="No Aplica","No Aplica",IF(I29="No Aplica","No Aplica",AVERAGE(I21,I29))),"")</f>
        <v>0.73259884790203089</v>
      </c>
      <c r="J31" s="1384">
        <f>IFERROR(AVERAGE(J21,J29),"")</f>
        <v>0.8886305002807704</v>
      </c>
      <c r="K31" s="1163" t="s">
        <v>1816</v>
      </c>
      <c r="L31" s="839"/>
      <c r="M31" s="837"/>
      <c r="O31" s="840"/>
    </row>
    <row r="32" spans="1:16" ht="35.25" customHeight="1" thickBot="1" x14ac:dyDescent="0.4">
      <c r="A32" s="1154"/>
      <c r="B32" s="1310"/>
      <c r="C32" s="1426"/>
      <c r="D32" s="1426"/>
      <c r="E32" s="1427"/>
      <c r="F32" s="1429"/>
      <c r="G32" s="1431"/>
      <c r="H32" s="1431"/>
      <c r="I32" s="1433"/>
      <c r="J32" s="1385"/>
      <c r="K32" s="1164" t="str">
        <f>IF(F31="No Aplica","No Aplica",IF(AND(AVERAGE(G31:I31)&gt;=75%,AVERAGE(G31:I31)&lt;=100%),"Favorable",IF(AND(AVERAGE(G31:I31)&gt;=65%,AVERAGE(G31:I31)&lt;75%),"Con Observaciones","Desfavorable")))</f>
        <v>Favorable</v>
      </c>
      <c r="L32" s="839"/>
      <c r="M32" s="837"/>
      <c r="O32" s="840"/>
    </row>
    <row r="33" spans="1:11" ht="24.75" customHeight="1" x14ac:dyDescent="0.35">
      <c r="A33" s="1320" t="s">
        <v>1622</v>
      </c>
      <c r="B33" s="1323" t="s">
        <v>1622</v>
      </c>
      <c r="C33" s="1326">
        <f>SUM(C12:C30)</f>
        <v>1</v>
      </c>
      <c r="D33" s="1329" t="s">
        <v>1623</v>
      </c>
      <c r="E33" s="1330"/>
      <c r="F33" s="1331"/>
      <c r="G33" s="955">
        <f>IFERROR(IF(C23="No Aplica",IF(C17="No Aplica",G16,((C12*G16)+(C17*G21))/(C12+C17)),IF(C17="No Aplica",((C12*G16)+(C23*G29))/(C12+C23),((C12*G16)+(C17*G21)+(C23*G29))/(C12+C17+C23))),"")</f>
        <v>0.87905394810150805</v>
      </c>
      <c r="H33" s="955">
        <f>IF(H16="No Aplica",IF(F29="No Aplica","",(C23*H29)/C23),IF(F29="No Aplica",(C12*H16)/C12,((C12*H16)+(C23*H29))/(C12+C23)))</f>
        <v>0.80348553328768357</v>
      </c>
      <c r="I33" s="956">
        <f>IF(F29="No Aplica","",(C23*I29)/C23)</f>
        <v>0.73259884790203089</v>
      </c>
      <c r="J33" s="1438">
        <f>IFERROR(AVERAGE(J16,J31),"")</f>
        <v>0.9056306913168557</v>
      </c>
      <c r="K33"/>
    </row>
    <row r="34" spans="1:11" ht="26.25" customHeight="1" thickBot="1" x14ac:dyDescent="0.4">
      <c r="A34" s="1321"/>
      <c r="B34" s="1324"/>
      <c r="C34" s="1327"/>
      <c r="D34" s="1332" t="s">
        <v>1624</v>
      </c>
      <c r="E34" s="1333"/>
      <c r="F34" s="1334"/>
      <c r="G34" s="843" t="str">
        <f>IF(G33="","",(IF(G33&gt;=75%,"EFICAZ","INEFICAZ")))</f>
        <v>EFICAZ</v>
      </c>
      <c r="H34" s="843" t="str">
        <f>IF(H33="","",(IF(H33&gt;=75%,"EFICIENTE","INEFICIENTE")))</f>
        <v>EFICIENTE</v>
      </c>
      <c r="I34" s="855" t="str">
        <f>IF(I33="","",(IF(I33&gt;=75%,"ECONOMICA","ANTIECONOMICA")))</f>
        <v>ANTIECONOMICA</v>
      </c>
      <c r="J34" s="1439"/>
      <c r="K34"/>
    </row>
    <row r="35" spans="1:11" ht="32.450000000000003" customHeight="1" thickBot="1" x14ac:dyDescent="0.4">
      <c r="A35" s="1322"/>
      <c r="B35" s="1325"/>
      <c r="C35" s="1328"/>
      <c r="D35" s="1335" t="str">
        <f>IF(J33="","",IF(VLOOKUP($C$5,TablaSujetos215[],3,FALSE)="MIXTA&lt;50","CONCEPTO DE GESTIÓN Y RENTABILIDAD FINANCIERA",IF(VLOOKUP($C$5,TablaSujetos215[],3,FALSE)="CORPORACION","CONCEPTO DE GESTIÓN DEL GASTO DE LOS RECURSOS PÚBLICOS","FENECIMIENTO")))</f>
        <v>FENECIMIENTO</v>
      </c>
      <c r="E35" s="1335"/>
      <c r="F35" s="1335"/>
      <c r="G35" s="1415" t="str">
        <f>IF(OR(D$35="",J33=""),"",IF($D$35="CONCEPTO DE GESTIÓN Y RENTABILIDAD FINANCIERA",IF($J$33&lt;75%,"INEFECTIVO","EFECTIVO"),IF($J$33&lt;75%,"NO SE FENECE","SE FENECE")))</f>
        <v>SE FENECE</v>
      </c>
      <c r="H35" s="1416"/>
      <c r="I35" s="1416"/>
      <c r="J35" s="1417"/>
    </row>
    <row r="36" spans="1:11" ht="21.75" customHeight="1" thickBot="1" x14ac:dyDescent="0.4">
      <c r="A36" s="844"/>
      <c r="B36" s="845"/>
      <c r="C36" s="846"/>
      <c r="D36" s="847"/>
      <c r="E36" s="847"/>
      <c r="F36" s="847"/>
      <c r="G36" s="848"/>
      <c r="H36" s="848"/>
      <c r="I36" s="848"/>
      <c r="J36"/>
      <c r="K36"/>
    </row>
    <row r="37" spans="1:11" ht="21" customHeight="1" x14ac:dyDescent="0.35">
      <c r="A37" s="1293" t="s">
        <v>1625</v>
      </c>
      <c r="B37" s="1294"/>
      <c r="C37" s="1295"/>
      <c r="D37" s="1299" t="s">
        <v>1626</v>
      </c>
      <c r="E37" s="1299"/>
      <c r="F37" s="1300"/>
      <c r="G37" s="1177">
        <v>0.74</v>
      </c>
      <c r="H37" s="849"/>
      <c r="I37" s="850"/>
      <c r="J37"/>
      <c r="K37"/>
    </row>
    <row r="38" spans="1:11" ht="21" customHeight="1" thickBot="1" x14ac:dyDescent="0.4">
      <c r="A38" s="1296"/>
      <c r="B38" s="1297"/>
      <c r="C38" s="1298"/>
      <c r="D38" s="1301"/>
      <c r="E38" s="1301"/>
      <c r="F38" s="1302"/>
      <c r="G38" s="852" t="str">
        <f>IF(G37="","",IF(AND(AVERAGE(G37)&gt;=75%,AVERAGE(G37)&lt;=100%),"EFICIENTE",IF(AND(AVERAGE(G37)&gt;=50%,AVERAGE(G37)&lt;75%),"CON DEFICIENCIAS","INEFICIENTE")))</f>
        <v>CON DEFICIENCIAS</v>
      </c>
    </row>
    <row r="39" spans="1:11" ht="21" customHeight="1" x14ac:dyDescent="0.35">
      <c r="A39" s="853"/>
      <c r="B39" s="1294" t="s">
        <v>1627</v>
      </c>
      <c r="C39" s="1295"/>
      <c r="D39" s="1303" t="s">
        <v>1626</v>
      </c>
      <c r="E39" s="1299"/>
      <c r="F39" s="1300"/>
      <c r="G39" s="1177">
        <v>0.74</v>
      </c>
    </row>
    <row r="40" spans="1:11" ht="21" customHeight="1" thickBot="1" x14ac:dyDescent="0.4">
      <c r="A40" s="853"/>
      <c r="B40" s="1297"/>
      <c r="C40" s="1298"/>
      <c r="D40" s="1304"/>
      <c r="E40" s="1301"/>
      <c r="F40" s="1302"/>
      <c r="G40" s="852" t="str">
        <f>IF(G39="","",IF(AND(AVERAGE(G39)&gt;=75%,AVERAGE(G39)&lt;=100%),"EFICIENTE",IF(AND(AVERAGE(G39)&gt;=50%,AVERAGE(G39)&lt;75%),"CON DEFICIENCIAS","INEFICIENTE")))</f>
        <v>CON DEFICIENCIAS</v>
      </c>
    </row>
    <row r="41" spans="1:11" ht="21" customHeight="1" x14ac:dyDescent="0.35">
      <c r="A41" s="1188" t="s">
        <v>1628</v>
      </c>
      <c r="B41" s="1294" t="s">
        <v>1837</v>
      </c>
      <c r="C41" s="1295"/>
      <c r="D41" s="1303" t="s">
        <v>1836</v>
      </c>
      <c r="E41" s="1299"/>
      <c r="F41" s="1300"/>
      <c r="G41" s="854">
        <v>0.75</v>
      </c>
      <c r="H41" s="854">
        <v>0.75</v>
      </c>
      <c r="I41" s="856"/>
    </row>
    <row r="42" spans="1:11" ht="21" customHeight="1" thickBot="1" x14ac:dyDescent="0.4">
      <c r="A42" s="1189"/>
      <c r="B42" s="1297"/>
      <c r="C42" s="1298"/>
      <c r="D42" s="1304"/>
      <c r="E42" s="1301"/>
      <c r="F42" s="1302"/>
      <c r="G42" s="852" t="str">
        <f>IF(G41="","",(IF(G41&gt;=75%,"EFICAZ","INEFICAZ")))</f>
        <v>EFICAZ</v>
      </c>
      <c r="H42" s="852" t="str">
        <f>IF(H41="","",(IF(H41&gt;=75%,"EFICIENTE","INEFICIENTE")))</f>
        <v>EFICIENTE</v>
      </c>
      <c r="I42" s="856"/>
    </row>
    <row r="43" spans="1:11" ht="15" customHeight="1" x14ac:dyDescent="0.35">
      <c r="A43" s="857"/>
      <c r="B43" s="857"/>
      <c r="C43" s="857"/>
      <c r="D43" s="857"/>
      <c r="E43" s="858"/>
      <c r="F43" s="858"/>
      <c r="G43" s="948"/>
    </row>
    <row r="44" spans="1:11" ht="15" customHeight="1" x14ac:dyDescent="0.35">
      <c r="A44" s="857"/>
      <c r="B44" s="857"/>
      <c r="C44" s="857"/>
      <c r="D44" s="857"/>
      <c r="E44" s="858"/>
      <c r="F44" s="858"/>
      <c r="G44" s="948"/>
      <c r="H44" s="948"/>
      <c r="I44" s="948"/>
      <c r="J44" s="856"/>
      <c r="K44" s="851"/>
    </row>
    <row r="45" spans="1:11" s="2024" customFormat="1" ht="15" customHeight="1" x14ac:dyDescent="0.35">
      <c r="A45" s="857"/>
      <c r="B45" s="857"/>
      <c r="C45" s="857"/>
      <c r="D45" s="857"/>
      <c r="E45" s="2042"/>
      <c r="F45" s="2042"/>
      <c r="G45" s="948"/>
      <c r="H45" s="948"/>
      <c r="I45" s="948"/>
      <c r="J45" s="948"/>
      <c r="K45" s="2043"/>
    </row>
    <row r="46" spans="1:11" s="2024" customFormat="1" ht="15" customHeight="1" x14ac:dyDescent="0.35">
      <c r="A46" s="51"/>
      <c r="B46" s="51"/>
      <c r="C46" s="737" t="s">
        <v>857</v>
      </c>
      <c r="D46" s="737" t="s">
        <v>1428</v>
      </c>
      <c r="F46" s="2042"/>
      <c r="G46" s="948"/>
      <c r="H46" s="948"/>
      <c r="I46" s="948"/>
      <c r="J46" s="948"/>
      <c r="K46" s="2044"/>
    </row>
    <row r="47" spans="1:11" s="2024" customFormat="1" ht="29.25" customHeight="1" x14ac:dyDescent="0.35">
      <c r="B47" s="2045" t="s">
        <v>680</v>
      </c>
      <c r="C47" s="232"/>
      <c r="D47" s="2046"/>
      <c r="E47" s="859"/>
      <c r="F47" s="859"/>
      <c r="G47" s="2047" t="s">
        <v>1629</v>
      </c>
      <c r="H47" s="1347"/>
      <c r="I47" s="1347"/>
      <c r="J47" s="948"/>
      <c r="K47" s="948"/>
    </row>
    <row r="48" spans="1:11" s="2024" customFormat="1" ht="33" customHeight="1" x14ac:dyDescent="0.35">
      <c r="B48" s="2045"/>
      <c r="C48" s="232"/>
      <c r="D48" s="2046"/>
      <c r="E48" s="860"/>
      <c r="F48" s="859"/>
      <c r="G48" s="2048"/>
      <c r="H48" s="1348" t="s">
        <v>1428</v>
      </c>
      <c r="I48" s="1348"/>
      <c r="J48" s="948"/>
      <c r="K48" s="948"/>
    </row>
    <row r="49" spans="1:11" s="2024" customFormat="1" ht="33" customHeight="1" x14ac:dyDescent="0.35">
      <c r="B49" s="2045"/>
      <c r="C49" s="232"/>
      <c r="D49" s="2046"/>
      <c r="E49" s="860"/>
      <c r="F49" s="859"/>
      <c r="G49" s="2047" t="s">
        <v>1630</v>
      </c>
      <c r="H49" s="1349"/>
      <c r="I49" s="1349"/>
      <c r="J49" s="1273"/>
      <c r="K49" s="948"/>
    </row>
    <row r="50" spans="1:11" s="2024" customFormat="1" ht="33" customHeight="1" x14ac:dyDescent="0.35">
      <c r="B50" s="2045"/>
      <c r="C50" s="232"/>
      <c r="D50" s="2046"/>
      <c r="E50" s="860"/>
      <c r="F50" s="859"/>
      <c r="G50" s="2048"/>
      <c r="H50" s="1273"/>
      <c r="I50" s="1273"/>
      <c r="J50" s="1273"/>
      <c r="K50" s="948"/>
    </row>
    <row r="51" spans="1:11" s="2024" customFormat="1" ht="33" customHeight="1" x14ac:dyDescent="0.35">
      <c r="B51" s="2045"/>
      <c r="C51" s="232"/>
      <c r="D51" s="2046"/>
      <c r="E51" s="860"/>
      <c r="F51" s="859"/>
      <c r="G51" s="2048"/>
      <c r="H51" s="1273"/>
      <c r="I51" s="1273"/>
      <c r="J51" s="1156"/>
      <c r="K51" s="1273"/>
    </row>
    <row r="52" spans="1:11" s="2024" customFormat="1" ht="33" customHeight="1" x14ac:dyDescent="0.35">
      <c r="B52" s="2045"/>
      <c r="C52" s="232"/>
      <c r="D52" s="2046"/>
      <c r="E52" s="860"/>
      <c r="F52" s="859"/>
      <c r="G52" s="2048"/>
      <c r="H52" s="1273"/>
      <c r="I52" s="1273"/>
      <c r="J52" s="1273"/>
      <c r="K52" s="1273"/>
    </row>
    <row r="53" spans="1:11" s="2024" customFormat="1" ht="33" customHeight="1" x14ac:dyDescent="0.35">
      <c r="B53" s="2045"/>
      <c r="C53" s="232"/>
      <c r="D53" s="2046"/>
      <c r="E53" s="860"/>
      <c r="F53" s="859"/>
      <c r="G53" s="2048"/>
      <c r="H53" s="1273"/>
      <c r="I53" s="1273"/>
      <c r="J53" s="1273"/>
      <c r="K53" s="1156"/>
    </row>
    <row r="54" spans="1:11" s="2024" customFormat="1" ht="33" customHeight="1" x14ac:dyDescent="0.35">
      <c r="B54" s="2045"/>
      <c r="C54" s="232"/>
      <c r="D54" s="2046"/>
      <c r="E54" s="860"/>
      <c r="F54" s="859"/>
      <c r="G54" s="2048"/>
      <c r="H54" s="1273"/>
      <c r="I54" s="1273"/>
      <c r="J54" s="1273"/>
      <c r="K54" s="1273"/>
    </row>
    <row r="55" spans="1:11" s="2024" customFormat="1" ht="30.75" customHeight="1" x14ac:dyDescent="0.35">
      <c r="B55" s="2045"/>
      <c r="C55" s="232"/>
      <c r="D55" s="2046"/>
      <c r="E55" s="860"/>
      <c r="F55" s="861"/>
      <c r="G55" s="2049"/>
      <c r="H55" s="859"/>
      <c r="I55" s="859"/>
      <c r="J55" s="1273"/>
      <c r="K55" s="1273"/>
    </row>
    <row r="56" spans="1:11" s="2024" customFormat="1" x14ac:dyDescent="0.35">
      <c r="B56" s="2045" t="s">
        <v>1429</v>
      </c>
      <c r="C56" s="232"/>
      <c r="D56" s="2046"/>
      <c r="E56" s="860"/>
      <c r="F56" s="862"/>
      <c r="I56" s="863"/>
      <c r="J56" s="1273"/>
      <c r="K56" s="1273"/>
    </row>
    <row r="57" spans="1:11" s="2024" customFormat="1" x14ac:dyDescent="0.35">
      <c r="B57" s="2045"/>
      <c r="C57" s="232"/>
      <c r="D57" s="2046"/>
      <c r="E57" s="860"/>
      <c r="F57" s="859"/>
      <c r="G57" s="859"/>
      <c r="H57" s="859"/>
      <c r="I57" s="859"/>
      <c r="J57" s="859"/>
      <c r="K57" s="1273"/>
    </row>
    <row r="58" spans="1:11" s="2024" customFormat="1" x14ac:dyDescent="0.35">
      <c r="B58" s="2045"/>
      <c r="C58" s="232"/>
      <c r="D58" s="2046"/>
      <c r="E58" s="860"/>
      <c r="F58" s="859"/>
      <c r="G58" s="859"/>
      <c r="H58" s="859"/>
      <c r="I58" s="859"/>
      <c r="J58" s="863"/>
      <c r="K58" s="1273"/>
    </row>
    <row r="59" spans="1:11" s="2024" customFormat="1" ht="48.75" customHeight="1" x14ac:dyDescent="0.35">
      <c r="B59" s="1115" t="s">
        <v>1430</v>
      </c>
      <c r="C59" s="2050"/>
      <c r="D59" s="2050"/>
      <c r="E59" s="860"/>
      <c r="F59" s="859"/>
      <c r="G59" s="859"/>
      <c r="H59" s="859"/>
      <c r="I59" s="859"/>
      <c r="J59" s="859"/>
      <c r="K59" s="859"/>
    </row>
    <row r="60" spans="1:11" s="2024" customFormat="1" x14ac:dyDescent="0.35">
      <c r="B60" s="1115" t="s">
        <v>681</v>
      </c>
      <c r="C60" s="232"/>
      <c r="D60" s="2046"/>
      <c r="E60" s="860"/>
      <c r="F60" s="859"/>
      <c r="G60" s="859"/>
      <c r="H60" s="859"/>
      <c r="I60" s="859"/>
      <c r="J60" s="859"/>
      <c r="K60" s="863"/>
    </row>
    <row r="61" spans="1:11" s="2024" customFormat="1" x14ac:dyDescent="0.35">
      <c r="A61" s="864"/>
      <c r="B61" s="864"/>
      <c r="C61" s="860"/>
      <c r="D61" s="860"/>
      <c r="E61" s="859"/>
      <c r="F61" s="859"/>
      <c r="G61" s="859"/>
      <c r="H61" s="859"/>
      <c r="I61" s="859"/>
      <c r="J61" s="859"/>
      <c r="K61" s="859"/>
    </row>
    <row r="62" spans="1:11" s="2024" customFormat="1" x14ac:dyDescent="0.35">
      <c r="A62" s="1271"/>
      <c r="B62" s="1271"/>
      <c r="C62" s="1271"/>
      <c r="D62" s="1271"/>
      <c r="E62" s="857"/>
      <c r="F62" s="857"/>
      <c r="G62" s="857"/>
      <c r="H62" s="857"/>
      <c r="I62" s="857"/>
      <c r="J62" s="859"/>
      <c r="K62" s="859"/>
    </row>
    <row r="63" spans="1:11" s="2024" customFormat="1" x14ac:dyDescent="0.35">
      <c r="A63" s="1271"/>
      <c r="B63" s="1271"/>
      <c r="C63" s="1271"/>
      <c r="D63" s="1271"/>
      <c r="E63" s="857"/>
      <c r="F63" s="857"/>
      <c r="G63" s="857"/>
      <c r="H63" s="857"/>
      <c r="I63" s="857"/>
      <c r="J63" s="859"/>
      <c r="K63" s="859"/>
    </row>
    <row r="64" spans="1:11" s="2024" customFormat="1" x14ac:dyDescent="0.35">
      <c r="A64" s="1344"/>
      <c r="B64" s="1344"/>
      <c r="C64" s="1344"/>
      <c r="D64" s="1344"/>
      <c r="E64" s="1344"/>
      <c r="F64" s="1271"/>
      <c r="G64" s="857"/>
      <c r="H64" s="2051"/>
      <c r="I64" s="948"/>
      <c r="J64" s="857"/>
      <c r="K64" s="859"/>
    </row>
    <row r="65" spans="1:27" s="2024" customFormat="1" x14ac:dyDescent="0.35">
      <c r="A65" s="1344"/>
      <c r="B65" s="1344"/>
      <c r="C65" s="1344"/>
      <c r="D65" s="1344"/>
      <c r="E65" s="1344"/>
      <c r="F65" s="1271"/>
      <c r="G65" s="865"/>
      <c r="H65" s="2052"/>
      <c r="I65" s="857"/>
      <c r="J65" s="857"/>
      <c r="K65" s="859"/>
    </row>
    <row r="66" spans="1:27" s="2024" customFormat="1" x14ac:dyDescent="0.35">
      <c r="A66" s="1344"/>
      <c r="B66" s="1344"/>
      <c r="C66" s="1344"/>
      <c r="D66" s="1344"/>
      <c r="E66" s="1344"/>
      <c r="F66" s="1271"/>
      <c r="G66" s="866"/>
      <c r="H66" s="2051"/>
      <c r="I66" s="1271"/>
      <c r="J66" s="948"/>
      <c r="K66" s="857"/>
    </row>
    <row r="67" spans="1:27" s="2024" customFormat="1" x14ac:dyDescent="0.35">
      <c r="A67" s="1344"/>
      <c r="B67" s="1344"/>
      <c r="C67" s="1344"/>
      <c r="D67" s="1344"/>
      <c r="E67" s="1344"/>
      <c r="F67" s="1271"/>
      <c r="G67" s="857"/>
      <c r="H67" s="857"/>
      <c r="I67" s="857"/>
      <c r="J67" s="857"/>
      <c r="K67" s="857"/>
    </row>
    <row r="68" spans="1:27" s="2024" customFormat="1" x14ac:dyDescent="0.35">
      <c r="A68" s="1344"/>
      <c r="B68" s="1344"/>
      <c r="C68" s="1344"/>
      <c r="D68" s="1344"/>
      <c r="E68" s="1344"/>
      <c r="F68" s="1271"/>
      <c r="G68" s="857"/>
      <c r="H68" s="857"/>
      <c r="I68" s="857"/>
      <c r="J68" s="1271"/>
      <c r="K68" s="948"/>
    </row>
    <row r="69" spans="1:27" s="2024" customFormat="1" x14ac:dyDescent="0.35">
      <c r="A69" s="1344"/>
      <c r="B69" s="1344"/>
      <c r="C69" s="1344"/>
      <c r="D69" s="1344"/>
      <c r="E69" s="1344"/>
      <c r="F69" s="1271"/>
      <c r="G69" s="857"/>
      <c r="H69" s="857"/>
      <c r="I69" s="857"/>
      <c r="J69" s="857"/>
      <c r="K69" s="857"/>
    </row>
    <row r="70" spans="1:27" s="2053" customFormat="1" ht="13.9" customHeight="1" x14ac:dyDescent="0.3">
      <c r="A70" s="1345"/>
      <c r="B70" s="1345"/>
      <c r="C70" s="1345"/>
      <c r="D70" s="1345"/>
      <c r="E70" s="1345"/>
      <c r="F70" s="1272"/>
      <c r="G70" s="867"/>
      <c r="H70" s="867"/>
      <c r="I70" s="867"/>
      <c r="J70" s="857"/>
      <c r="K70" s="1271"/>
    </row>
    <row r="71" spans="1:27" s="2053" customFormat="1" ht="13.9" customHeight="1" x14ac:dyDescent="0.3">
      <c r="J71" s="857"/>
      <c r="K71" s="857"/>
    </row>
    <row r="72" spans="1:27" s="2053" customFormat="1" ht="13.9" customHeight="1" x14ac:dyDescent="0.3">
      <c r="J72" s="867"/>
      <c r="K72" s="857"/>
    </row>
    <row r="73" spans="1:27" s="2053" customFormat="1" ht="13.9" customHeight="1" x14ac:dyDescent="0.3">
      <c r="K73" s="857"/>
    </row>
    <row r="74" spans="1:27" s="2053" customFormat="1" ht="13.9" customHeight="1" x14ac:dyDescent="0.2">
      <c r="K74" s="867"/>
    </row>
    <row r="75" spans="1:27" s="2053" customFormat="1" ht="13.9" customHeight="1" x14ac:dyDescent="0.2"/>
    <row r="76" spans="1:27" s="2053" customFormat="1" ht="13.9" customHeight="1" x14ac:dyDescent="0.2">
      <c r="W76" s="2054"/>
    </row>
    <row r="77" spans="1:27" s="2053" customFormat="1" ht="13.9" customHeight="1" x14ac:dyDescent="0.2">
      <c r="C77" s="2055"/>
      <c r="D77" s="2055"/>
      <c r="W77" s="2054"/>
      <c r="X77" s="2056"/>
      <c r="Y77" s="2057"/>
      <c r="Z77" s="2056"/>
      <c r="AA77" s="2058"/>
    </row>
    <row r="78" spans="1:27" s="2053" customFormat="1" ht="13.9" customHeight="1" x14ac:dyDescent="0.2">
      <c r="W78" s="2054"/>
      <c r="X78" s="2056"/>
      <c r="Y78" s="2056"/>
      <c r="Z78" s="2056"/>
      <c r="AA78" s="2059"/>
    </row>
    <row r="79" spans="1:27" s="2053" customFormat="1" ht="13.9" customHeight="1" x14ac:dyDescent="0.2">
      <c r="W79" s="2060"/>
      <c r="X79" s="2059"/>
      <c r="Y79" s="2059"/>
      <c r="Z79" s="2059"/>
      <c r="AA79" s="2058"/>
    </row>
    <row r="80" spans="1:27" s="2053" customFormat="1" ht="13.9" customHeight="1" x14ac:dyDescent="0.2"/>
    <row r="81" spans="23:27" s="2053" customFormat="1" ht="13.9" customHeight="1" x14ac:dyDescent="0.2">
      <c r="W81" s="2061"/>
    </row>
    <row r="82" spans="23:27" s="2053" customFormat="1" ht="13.9" customHeight="1" x14ac:dyDescent="0.2">
      <c r="X82" s="2057"/>
      <c r="Y82" s="2057"/>
      <c r="Z82" s="2057"/>
      <c r="AA82" s="2059"/>
    </row>
    <row r="83" spans="23:27" s="2053" customFormat="1" ht="13.9" customHeight="1" x14ac:dyDescent="0.2">
      <c r="X83" s="2056"/>
      <c r="Y83" s="2059"/>
      <c r="Z83" s="2056"/>
      <c r="AA83" s="2058"/>
    </row>
    <row r="84" spans="23:27" s="2053" customFormat="1" ht="13.9" customHeight="1" x14ac:dyDescent="0.2">
      <c r="X84" s="2056"/>
      <c r="Y84" s="2056"/>
      <c r="Z84" s="2056"/>
      <c r="AA84" s="2059"/>
    </row>
    <row r="85" spans="23:27" s="2053" customFormat="1" ht="13.9" customHeight="1" x14ac:dyDescent="0.2">
      <c r="X85" s="2056"/>
      <c r="Y85" s="2056"/>
      <c r="Z85" s="2056"/>
      <c r="AA85" s="2059"/>
    </row>
    <row r="86" spans="23:27" s="2053" customFormat="1" ht="13.9" customHeight="1" x14ac:dyDescent="0.2">
      <c r="X86" s="2055"/>
      <c r="Y86" s="2059"/>
      <c r="Z86" s="2055"/>
      <c r="AA86" s="2058"/>
    </row>
    <row r="87" spans="23:27" s="2053" customFormat="1" ht="13.9" customHeight="1" x14ac:dyDescent="0.2">
      <c r="X87" s="2055"/>
      <c r="Y87" s="2059"/>
      <c r="Z87" s="2055"/>
      <c r="AA87" s="2058"/>
    </row>
    <row r="88" spans="23:27" s="2053" customFormat="1" ht="13.9" customHeight="1" x14ac:dyDescent="0.2"/>
    <row r="89" spans="23:27" s="2053" customFormat="1" ht="13.9" customHeight="1" x14ac:dyDescent="0.2"/>
    <row r="90" spans="23:27" s="2053" customFormat="1" ht="13.9" customHeight="1" x14ac:dyDescent="0.2"/>
    <row r="91" spans="23:27" s="2053" customFormat="1" ht="13.9" customHeight="1" x14ac:dyDescent="0.25">
      <c r="X91" s="390"/>
      <c r="Y91" s="390"/>
      <c r="Z91" s="390"/>
      <c r="AA91" s="390"/>
    </row>
    <row r="92" spans="23:27" s="2053" customFormat="1" ht="13.9" customHeight="1" x14ac:dyDescent="0.25">
      <c r="X92" s="390"/>
      <c r="Y92" s="390"/>
      <c r="Z92" s="390"/>
      <c r="AA92" s="390"/>
    </row>
    <row r="93" spans="23:27" s="2053" customFormat="1" ht="13.9" customHeight="1" x14ac:dyDescent="0.25">
      <c r="X93" s="390"/>
      <c r="Y93" s="390"/>
      <c r="Z93" s="390"/>
      <c r="AA93" s="390"/>
    </row>
    <row r="94" spans="23:27" s="2053" customFormat="1" ht="13.9" customHeight="1" x14ac:dyDescent="0.2"/>
    <row r="95" spans="23:27" s="2053" customFormat="1" ht="13.9" customHeight="1" x14ac:dyDescent="0.2"/>
    <row r="96" spans="23:27" s="2053" customFormat="1" ht="13.9" customHeight="1" x14ac:dyDescent="0.2"/>
    <row r="97" s="2053" customFormat="1" ht="13.9" customHeight="1" x14ac:dyDescent="0.2"/>
    <row r="98" s="2053" customFormat="1" ht="13.9" customHeight="1" x14ac:dyDescent="0.2"/>
    <row r="99" s="2053" customFormat="1" ht="13.9" customHeight="1" x14ac:dyDescent="0.2"/>
    <row r="100" s="2053" customFormat="1" ht="13.9" customHeight="1" x14ac:dyDescent="0.2"/>
    <row r="101" s="2053" customFormat="1" ht="13.9" customHeight="1" x14ac:dyDescent="0.2"/>
    <row r="102" s="2053" customFormat="1" ht="13.9" customHeight="1" x14ac:dyDescent="0.2"/>
    <row r="103" s="2053" customFormat="1" ht="13.9" customHeight="1" x14ac:dyDescent="0.2"/>
    <row r="104" s="2053" customFormat="1" ht="13.9" customHeight="1" x14ac:dyDescent="0.2"/>
    <row r="105" s="2053" customFormat="1" ht="13.9" customHeight="1" x14ac:dyDescent="0.2"/>
    <row r="106" s="2053" customFormat="1" ht="13.9" customHeight="1" x14ac:dyDescent="0.2"/>
    <row r="107" s="2053" customFormat="1" ht="13.9" customHeight="1" x14ac:dyDescent="0.2"/>
    <row r="108" s="2053" customFormat="1" ht="13.9" customHeight="1" x14ac:dyDescent="0.2"/>
    <row r="109" s="2053" customFormat="1" ht="13.9" customHeight="1" x14ac:dyDescent="0.2"/>
    <row r="110" s="2053" customFormat="1" ht="13.9" customHeight="1" x14ac:dyDescent="0.2"/>
    <row r="111" s="2053" customFormat="1" ht="13.9" customHeight="1" x14ac:dyDescent="0.2"/>
    <row r="112" s="2053" customFormat="1" ht="13.9" customHeight="1" x14ac:dyDescent="0.2"/>
    <row r="113" s="2053" customFormat="1" ht="13.9" customHeight="1" x14ac:dyDescent="0.2"/>
    <row r="114" s="2053" customFormat="1" ht="13.9" customHeight="1" x14ac:dyDescent="0.2"/>
    <row r="115" s="2053" customFormat="1" ht="13.9" customHeight="1" x14ac:dyDescent="0.2"/>
    <row r="116" s="2053" customFormat="1" ht="13.9" customHeight="1" x14ac:dyDescent="0.2"/>
    <row r="117" s="2053" customFormat="1" ht="13.9" customHeight="1" x14ac:dyDescent="0.2"/>
    <row r="118" s="2053" customFormat="1" ht="13.9" customHeight="1" x14ac:dyDescent="0.2"/>
    <row r="119" s="2053" customFormat="1" ht="13.9" customHeight="1" x14ac:dyDescent="0.2"/>
    <row r="120" s="2053" customFormat="1" ht="13.9" customHeight="1" x14ac:dyDescent="0.2"/>
    <row r="121" s="2053" customFormat="1" ht="13.9" customHeight="1" x14ac:dyDescent="0.2"/>
    <row r="122" s="2053" customFormat="1" ht="13.9" customHeight="1" x14ac:dyDescent="0.2"/>
    <row r="123" s="2053" customFormat="1" ht="13.9" customHeight="1" x14ac:dyDescent="0.2"/>
    <row r="124" s="2053" customFormat="1" ht="13.9" customHeight="1" x14ac:dyDescent="0.2"/>
    <row r="125" s="2053" customFormat="1" ht="13.9" customHeight="1" x14ac:dyDescent="0.2"/>
    <row r="126" s="2053" customFormat="1" ht="13.9" customHeight="1" x14ac:dyDescent="0.2"/>
    <row r="127" s="2053" customFormat="1" ht="13.9" customHeight="1" x14ac:dyDescent="0.2"/>
    <row r="128" s="2053" customFormat="1" ht="13.9" customHeight="1" x14ac:dyDescent="0.2"/>
    <row r="129" s="2053" customFormat="1" ht="13.9" customHeight="1" x14ac:dyDescent="0.2"/>
    <row r="130" s="2053" customFormat="1" ht="13.9" customHeight="1" x14ac:dyDescent="0.2"/>
    <row r="131" s="2053" customFormat="1" ht="13.9" customHeight="1" x14ac:dyDescent="0.2"/>
    <row r="132" s="2053" customFormat="1" ht="13.9" customHeight="1" x14ac:dyDescent="0.2"/>
    <row r="133" s="2053" customFormat="1" ht="13.9" customHeight="1" x14ac:dyDescent="0.2"/>
    <row r="134" s="2053" customFormat="1" ht="13.9" customHeight="1" x14ac:dyDescent="0.2"/>
    <row r="135" s="2053" customFormat="1" ht="13.9" customHeight="1" x14ac:dyDescent="0.2"/>
    <row r="136" s="2053" customFormat="1" ht="13.9" customHeight="1" x14ac:dyDescent="0.2"/>
    <row r="137" s="2053" customFormat="1" ht="13.9" customHeight="1" x14ac:dyDescent="0.2"/>
    <row r="138" s="2053" customFormat="1" ht="13.9" customHeight="1" x14ac:dyDescent="0.2"/>
    <row r="139" s="2053" customFormat="1" ht="13.9" customHeight="1" x14ac:dyDescent="0.2"/>
    <row r="140" s="2053" customFormat="1" ht="13.9" customHeight="1" x14ac:dyDescent="0.2"/>
    <row r="141" s="2053" customFormat="1" ht="13.9" customHeight="1" x14ac:dyDescent="0.2"/>
    <row r="142" s="2053" customFormat="1" ht="13.9" customHeight="1" x14ac:dyDescent="0.2"/>
    <row r="143" s="2053" customFormat="1" ht="13.9" customHeight="1" x14ac:dyDescent="0.2"/>
    <row r="144" s="2053" customFormat="1" ht="13.9" customHeight="1" x14ac:dyDescent="0.2"/>
    <row r="145" s="2053" customFormat="1" ht="13.9" customHeight="1" x14ac:dyDescent="0.2"/>
    <row r="146" s="2053" customFormat="1" ht="13.9" customHeight="1" x14ac:dyDescent="0.2"/>
    <row r="147" s="2053" customFormat="1" ht="13.9" customHeight="1" x14ac:dyDescent="0.2"/>
    <row r="148" s="2053" customFormat="1" ht="13.9" customHeight="1" x14ac:dyDescent="0.2"/>
    <row r="149" s="2053" customFormat="1" ht="13.9" customHeight="1" x14ac:dyDescent="0.2"/>
    <row r="150" s="2053" customFormat="1" ht="13.9" customHeight="1" x14ac:dyDescent="0.2"/>
    <row r="151" s="2053" customFormat="1" ht="13.9" customHeight="1" x14ac:dyDescent="0.2"/>
    <row r="152" s="2053" customFormat="1" ht="13.9" customHeight="1" x14ac:dyDescent="0.2"/>
    <row r="153" s="2053" customFormat="1" ht="13.9" customHeight="1" x14ac:dyDescent="0.2"/>
    <row r="154" s="2053" customFormat="1" ht="13.9" customHeight="1" x14ac:dyDescent="0.2"/>
    <row r="155" s="2053" customFormat="1" ht="13.9" customHeight="1" x14ac:dyDescent="0.2"/>
    <row r="156" s="2053" customFormat="1" ht="13.9" customHeight="1" x14ac:dyDescent="0.2"/>
    <row r="157" s="2053" customFormat="1" ht="13.9" customHeight="1" x14ac:dyDescent="0.2"/>
    <row r="158" s="2053" customFormat="1" ht="13.9" customHeight="1" x14ac:dyDescent="0.2"/>
    <row r="159" s="2053" customFormat="1" ht="13.9" customHeight="1" x14ac:dyDescent="0.2"/>
    <row r="160" s="2053" customFormat="1" ht="13.9" customHeight="1" x14ac:dyDescent="0.2"/>
    <row r="161" s="2053" customFormat="1" ht="13.9" customHeight="1" x14ac:dyDescent="0.2"/>
    <row r="162" s="2053" customFormat="1" ht="13.9" customHeight="1" x14ac:dyDescent="0.2"/>
    <row r="163" s="2053" customFormat="1" ht="13.9" customHeight="1" x14ac:dyDescent="0.2"/>
    <row r="164" s="2053" customFormat="1" ht="13.9" customHeight="1" x14ac:dyDescent="0.2"/>
    <row r="165" s="2053" customFormat="1" ht="13.9" customHeight="1" x14ac:dyDescent="0.2"/>
    <row r="166" s="2053" customFormat="1" ht="13.9" customHeight="1" x14ac:dyDescent="0.2"/>
    <row r="167" s="2053" customFormat="1" ht="13.9" customHeight="1" x14ac:dyDescent="0.2"/>
    <row r="168" s="2053" customFormat="1" ht="13.9" customHeight="1" x14ac:dyDescent="0.2"/>
    <row r="169" s="2053" customFormat="1" ht="13.9" customHeight="1" x14ac:dyDescent="0.2"/>
    <row r="170" s="2053" customFormat="1" ht="13.9" customHeight="1" x14ac:dyDescent="0.2"/>
    <row r="171" s="2053" customFormat="1" ht="13.9" customHeight="1" x14ac:dyDescent="0.2"/>
    <row r="172" s="2053" customFormat="1" ht="13.9" customHeight="1" x14ac:dyDescent="0.2"/>
    <row r="173" s="2053" customFormat="1" ht="13.9" customHeight="1" x14ac:dyDescent="0.2"/>
    <row r="174" s="2053" customFormat="1" ht="13.9" customHeight="1" x14ac:dyDescent="0.2"/>
    <row r="175" s="2053" customFormat="1" ht="13.9" customHeight="1" x14ac:dyDescent="0.2"/>
    <row r="176" s="2053" customFormat="1" ht="13.9" customHeight="1" x14ac:dyDescent="0.2"/>
    <row r="177" s="257" customFormat="1" ht="13.9" customHeight="1" x14ac:dyDescent="0.2"/>
    <row r="178" s="257" customFormat="1" ht="13.9" customHeight="1" x14ac:dyDescent="0.2"/>
    <row r="179" s="257" customFormat="1" ht="13.9" customHeight="1" x14ac:dyDescent="0.2"/>
    <row r="180" s="257" customFormat="1" ht="13.9" customHeight="1" x14ac:dyDescent="0.2"/>
    <row r="181" s="257" customFormat="1" ht="13.9" customHeight="1" x14ac:dyDescent="0.2"/>
    <row r="182" s="257" customFormat="1" ht="13.9" customHeight="1" x14ac:dyDescent="0.2"/>
    <row r="183" s="257" customFormat="1" ht="13.9" customHeight="1" x14ac:dyDescent="0.2"/>
    <row r="184" s="257" customFormat="1" ht="13.9" customHeight="1" x14ac:dyDescent="0.2"/>
    <row r="185" s="257" customFormat="1" ht="13.9" customHeight="1" x14ac:dyDescent="0.2"/>
    <row r="186" s="257" customFormat="1" ht="13.9" customHeight="1" x14ac:dyDescent="0.2"/>
    <row r="187" s="257" customFormat="1" ht="13.9" customHeight="1" x14ac:dyDescent="0.2"/>
    <row r="188" s="257" customFormat="1" ht="13.9" customHeight="1" x14ac:dyDescent="0.2"/>
    <row r="189" s="257" customFormat="1" ht="13.9" customHeight="1" x14ac:dyDescent="0.2"/>
    <row r="190" s="257" customFormat="1" ht="13.9" customHeight="1" x14ac:dyDescent="0.2"/>
    <row r="191" s="257" customFormat="1" ht="13.9" customHeight="1" x14ac:dyDescent="0.2"/>
    <row r="192" s="257" customFormat="1" ht="13.9" customHeight="1" x14ac:dyDescent="0.2"/>
    <row r="193" s="257" customFormat="1" ht="13.9" customHeight="1" x14ac:dyDescent="0.2"/>
    <row r="194" s="257" customFormat="1" ht="13.9" customHeight="1" x14ac:dyDescent="0.2"/>
    <row r="195" s="257" customFormat="1" ht="13.9" customHeight="1" x14ac:dyDescent="0.2"/>
    <row r="196" s="257" customFormat="1" ht="13.9" customHeight="1" x14ac:dyDescent="0.2"/>
    <row r="197" s="257" customFormat="1" ht="13.9" customHeight="1" x14ac:dyDescent="0.2"/>
    <row r="198" s="257" customFormat="1" ht="13.9" customHeight="1" x14ac:dyDescent="0.2"/>
    <row r="199" s="257" customFormat="1" ht="13.9" customHeight="1" x14ac:dyDescent="0.2"/>
    <row r="200" s="257" customFormat="1" ht="13.9" customHeight="1" x14ac:dyDescent="0.2"/>
    <row r="201" s="257" customFormat="1" ht="13.9" customHeight="1" x14ac:dyDescent="0.2"/>
    <row r="202" s="257" customFormat="1" ht="13.9" customHeight="1" x14ac:dyDescent="0.2"/>
    <row r="203" s="257" customFormat="1" ht="13.9" customHeight="1" x14ac:dyDescent="0.2"/>
    <row r="204" s="257" customFormat="1" ht="13.9" customHeight="1" x14ac:dyDescent="0.2"/>
    <row r="205" s="257" customFormat="1" ht="13.9" customHeight="1" x14ac:dyDescent="0.2"/>
    <row r="206" s="257" customFormat="1" ht="13.9" customHeight="1" x14ac:dyDescent="0.2"/>
    <row r="207" s="257" customFormat="1" ht="13.9" customHeight="1" x14ac:dyDescent="0.2"/>
    <row r="208" s="257" customFormat="1" ht="13.9" customHeight="1" x14ac:dyDescent="0.2"/>
    <row r="209" spans="2:8" s="257" customFormat="1" ht="13.9" customHeight="1" x14ac:dyDescent="0.2">
      <c r="B209" s="1178" t="s">
        <v>1827</v>
      </c>
      <c r="C209" s="410"/>
      <c r="D209" s="410"/>
      <c r="E209" s="1179" t="s">
        <v>1828</v>
      </c>
      <c r="F209" s="1166" t="s">
        <v>1829</v>
      </c>
      <c r="G209" s="1166" t="s">
        <v>1817</v>
      </c>
      <c r="H209" s="1167" t="s">
        <v>1818</v>
      </c>
    </row>
    <row r="210" spans="2:8" s="257" customFormat="1" ht="13.9" customHeight="1" x14ac:dyDescent="0.2">
      <c r="B210" s="1418" t="s">
        <v>1830</v>
      </c>
      <c r="C210" s="1418"/>
      <c r="D210" s="1418"/>
      <c r="E210" s="1180">
        <v>0</v>
      </c>
      <c r="F210" s="1181">
        <v>0</v>
      </c>
      <c r="G210" s="1168">
        <v>0</v>
      </c>
      <c r="H210" s="1169" t="s">
        <v>1819</v>
      </c>
    </row>
    <row r="211" spans="2:8" s="257" customFormat="1" ht="13.9" customHeight="1" x14ac:dyDescent="0.2">
      <c r="B211" s="1418" t="s">
        <v>1831</v>
      </c>
      <c r="C211" s="1418"/>
      <c r="D211" s="1418"/>
      <c r="E211" s="1180">
        <v>0.01</v>
      </c>
      <c r="F211" s="1181">
        <v>0.99</v>
      </c>
      <c r="G211" s="1168" t="s">
        <v>1820</v>
      </c>
      <c r="H211" s="1170" t="s">
        <v>1821</v>
      </c>
    </row>
    <row r="212" spans="2:8" s="257" customFormat="1" ht="13.9" customHeight="1" x14ac:dyDescent="0.2">
      <c r="B212" s="1419" t="s">
        <v>1832</v>
      </c>
      <c r="C212" s="1419"/>
      <c r="D212" s="1419"/>
      <c r="E212" s="1182">
        <v>0.99999000000000005</v>
      </c>
      <c r="F212" s="1183">
        <v>1.99</v>
      </c>
      <c r="G212" s="1171" t="s">
        <v>1822</v>
      </c>
      <c r="H212" s="1172" t="s">
        <v>1821</v>
      </c>
    </row>
    <row r="213" spans="2:8" s="257" customFormat="1" ht="13.9" customHeight="1" x14ac:dyDescent="0.2">
      <c r="B213" s="1420" t="s">
        <v>1833</v>
      </c>
      <c r="C213" s="1420"/>
      <c r="D213" s="1420"/>
      <c r="E213" s="1184">
        <v>1.9999998999999999</v>
      </c>
      <c r="F213" s="1173">
        <v>2.4900000000000002</v>
      </c>
      <c r="G213" s="1173" t="s">
        <v>1823</v>
      </c>
      <c r="H213" s="1174" t="s">
        <v>1824</v>
      </c>
    </row>
    <row r="214" spans="2:8" s="257" customFormat="1" ht="13.9" customHeight="1" x14ac:dyDescent="0.2">
      <c r="B214" s="1421" t="s">
        <v>1834</v>
      </c>
      <c r="C214" s="1421"/>
      <c r="D214" s="1421"/>
      <c r="E214" s="1185">
        <v>2.4999989999999999</v>
      </c>
      <c r="F214" s="1175">
        <v>3</v>
      </c>
      <c r="G214" s="1175" t="s">
        <v>1825</v>
      </c>
      <c r="H214" s="1176" t="s">
        <v>1826</v>
      </c>
    </row>
    <row r="215" spans="2:8" s="257" customFormat="1" ht="13.9" customHeight="1" x14ac:dyDescent="0.2"/>
    <row r="216" spans="2:8" s="257" customFormat="1" ht="13.9" customHeight="1" x14ac:dyDescent="0.2"/>
    <row r="217" spans="2:8" s="257" customFormat="1" ht="13.9" customHeight="1" x14ac:dyDescent="0.2"/>
    <row r="218" spans="2:8" s="257" customFormat="1" ht="13.9" customHeight="1" x14ac:dyDescent="0.2"/>
    <row r="219" spans="2:8" s="257" customFormat="1" ht="13.9" customHeight="1" x14ac:dyDescent="0.2"/>
    <row r="220" spans="2:8" s="257" customFormat="1" ht="13.9" customHeight="1" x14ac:dyDescent="0.2"/>
    <row r="221" spans="2:8" s="257" customFormat="1" ht="13.9" customHeight="1" x14ac:dyDescent="0.2"/>
    <row r="222" spans="2:8" s="257" customFormat="1" ht="13.9" customHeight="1" x14ac:dyDescent="0.2"/>
    <row r="223" spans="2:8" s="257" customFormat="1" ht="13.9" customHeight="1" x14ac:dyDescent="0.2"/>
    <row r="224" spans="2:8" s="257" customFormat="1" ht="13.9" customHeight="1" x14ac:dyDescent="0.2"/>
    <row r="225" spans="10:21" s="257" customFormat="1" ht="13.9" customHeight="1" x14ac:dyDescent="0.2"/>
    <row r="226" spans="10:21" s="257" customFormat="1" ht="13.9" customHeight="1" x14ac:dyDescent="0.2"/>
    <row r="227" spans="10:21" s="257" customFormat="1" ht="13.9" customHeight="1" x14ac:dyDescent="0.2"/>
    <row r="228" spans="10:21" s="257" customFormat="1" ht="13.9" customHeight="1" x14ac:dyDescent="0.2"/>
    <row r="229" spans="10:21" s="257" customFormat="1" ht="13.9" customHeight="1" x14ac:dyDescent="0.2"/>
    <row r="230" spans="10:21" s="257" customFormat="1" ht="13.9" customHeight="1" x14ac:dyDescent="0.2"/>
    <row r="231" spans="10:21" s="257" customFormat="1" ht="13.9" customHeight="1" x14ac:dyDescent="0.2"/>
    <row r="232" spans="10:21" s="257" customFormat="1" ht="13.9" customHeight="1" thickBot="1" x14ac:dyDescent="0.25"/>
    <row r="233" spans="10:21" s="257" customFormat="1" ht="13.9" customHeight="1" thickBot="1" x14ac:dyDescent="0.25">
      <c r="S233" s="868"/>
    </row>
    <row r="234" spans="10:21" s="257" customFormat="1" ht="13.9" customHeight="1" thickBot="1" x14ac:dyDescent="0.25">
      <c r="S234" s="869"/>
    </row>
    <row r="235" spans="10:21" s="257" customFormat="1" ht="13.9" customHeight="1" thickBot="1" x14ac:dyDescent="0.25">
      <c r="S235" s="870"/>
    </row>
    <row r="236" spans="10:21" ht="21.75" thickBot="1" x14ac:dyDescent="0.4">
      <c r="J236" s="257"/>
      <c r="K236" s="257"/>
      <c r="S236" s="869"/>
      <c r="T236" s="257"/>
      <c r="U236" s="257"/>
    </row>
    <row r="237" spans="10:21" ht="21.75" thickBot="1" x14ac:dyDescent="0.4">
      <c r="J237" s="257"/>
      <c r="K237" s="257"/>
      <c r="S237" s="870"/>
      <c r="T237" s="257"/>
      <c r="U237" s="257"/>
    </row>
    <row r="238" spans="10:21" ht="21.75" thickBot="1" x14ac:dyDescent="0.4">
      <c r="K238" s="257"/>
      <c r="S238" s="869"/>
      <c r="T238" s="257"/>
      <c r="U238" s="257"/>
    </row>
    <row r="239" spans="10:21" x14ac:dyDescent="0.35">
      <c r="K239" s="257"/>
    </row>
    <row r="275" spans="10:11" x14ac:dyDescent="0.35">
      <c r="J275" s="951"/>
    </row>
    <row r="277" spans="10:11" x14ac:dyDescent="0.35">
      <c r="K277" s="951"/>
    </row>
  </sheetData>
  <sheetProtection algorithmName="SHA-512" hashValue="R448o0o0YbCeqLnKMYhaBrLKVWoZdHCsvL40hf5KQDrYY/CM1jOvCv2Cm6QaW+GsO7hgRjnAp4HR9dAuMH9R4g==" saltValue="nVBmsoV19cXlqyQEqkRjpQ==" spinCount="100000" sheet="1" objects="1" scenarios="1"/>
  <protectedRanges>
    <protectedRange sqref="K28 K18 K20 K22" name="Rango3"/>
  </protectedRanges>
  <mergeCells count="115">
    <mergeCell ref="C1:J2"/>
    <mergeCell ref="G35:J35"/>
    <mergeCell ref="B210:D210"/>
    <mergeCell ref="B211:D211"/>
    <mergeCell ref="B212:D212"/>
    <mergeCell ref="B213:D213"/>
    <mergeCell ref="B214:D214"/>
    <mergeCell ref="D41:F42"/>
    <mergeCell ref="B41:C42"/>
    <mergeCell ref="C16:E16"/>
    <mergeCell ref="C12:C15"/>
    <mergeCell ref="C31:E32"/>
    <mergeCell ref="F31:F32"/>
    <mergeCell ref="G31:G32"/>
    <mergeCell ref="H31:H32"/>
    <mergeCell ref="I31:I32"/>
    <mergeCell ref="J17:J18"/>
    <mergeCell ref="J19:J20"/>
    <mergeCell ref="J21:J22"/>
    <mergeCell ref="J27:J28"/>
    <mergeCell ref="J29:J30"/>
    <mergeCell ref="J33:J34"/>
    <mergeCell ref="J23:J26"/>
    <mergeCell ref="F12:F13"/>
    <mergeCell ref="K9:K11"/>
    <mergeCell ref="K23:K24"/>
    <mergeCell ref="J31:J32"/>
    <mergeCell ref="A1:A2"/>
    <mergeCell ref="B1:B2"/>
    <mergeCell ref="A3:K3"/>
    <mergeCell ref="C4:G4"/>
    <mergeCell ref="C5:G5"/>
    <mergeCell ref="C6:E6"/>
    <mergeCell ref="C7:G7"/>
    <mergeCell ref="A9:A11"/>
    <mergeCell ref="B9:B11"/>
    <mergeCell ref="C9:C11"/>
    <mergeCell ref="D9:E11"/>
    <mergeCell ref="F9:F11"/>
    <mergeCell ref="G9:I9"/>
    <mergeCell ref="J9:J11"/>
    <mergeCell ref="H12:H13"/>
    <mergeCell ref="I12:I13"/>
    <mergeCell ref="D14:E15"/>
    <mergeCell ref="F14:F15"/>
    <mergeCell ref="G14:G15"/>
    <mergeCell ref="H14:H15"/>
    <mergeCell ref="D12:E13"/>
    <mergeCell ref="G12:G13"/>
    <mergeCell ref="J12:J13"/>
    <mergeCell ref="J14:J15"/>
    <mergeCell ref="A17:A22"/>
    <mergeCell ref="C17:C22"/>
    <mergeCell ref="D17:D20"/>
    <mergeCell ref="E17:E18"/>
    <mergeCell ref="F17:F18"/>
    <mergeCell ref="G17:G18"/>
    <mergeCell ref="H17:H18"/>
    <mergeCell ref="I17:I18"/>
    <mergeCell ref="A12:A16"/>
    <mergeCell ref="B12:B16"/>
    <mergeCell ref="E19:E20"/>
    <mergeCell ref="F19:F20"/>
    <mergeCell ref="G19:G20"/>
    <mergeCell ref="H19:H20"/>
    <mergeCell ref="I19:I20"/>
    <mergeCell ref="D21:E22"/>
    <mergeCell ref="F21:F22"/>
    <mergeCell ref="G21:G22"/>
    <mergeCell ref="F23:F26"/>
    <mergeCell ref="G23:G26"/>
    <mergeCell ref="I27:I28"/>
    <mergeCell ref="D29:E30"/>
    <mergeCell ref="F29:F30"/>
    <mergeCell ref="G29:G30"/>
    <mergeCell ref="H29:H30"/>
    <mergeCell ref="I29:I30"/>
    <mergeCell ref="I14:I15"/>
    <mergeCell ref="A65:E65"/>
    <mergeCell ref="A66:E66"/>
    <mergeCell ref="A67:E67"/>
    <mergeCell ref="A68:E68"/>
    <mergeCell ref="A69:E69"/>
    <mergeCell ref="A70:E70"/>
    <mergeCell ref="B47:B55"/>
    <mergeCell ref="H47:I47"/>
    <mergeCell ref="H48:I48"/>
    <mergeCell ref="B56:B58"/>
    <mergeCell ref="C59:D59"/>
    <mergeCell ref="A64:E64"/>
    <mergeCell ref="H49:I49"/>
    <mergeCell ref="A37:C38"/>
    <mergeCell ref="D37:F38"/>
    <mergeCell ref="B39:C40"/>
    <mergeCell ref="D39:F40"/>
    <mergeCell ref="I23:I26"/>
    <mergeCell ref="B17:B32"/>
    <mergeCell ref="A24:A30"/>
    <mergeCell ref="K25:K26"/>
    <mergeCell ref="E27:E28"/>
    <mergeCell ref="F27:F28"/>
    <mergeCell ref="G27:G28"/>
    <mergeCell ref="H27:H28"/>
    <mergeCell ref="H23:H26"/>
    <mergeCell ref="A33:A35"/>
    <mergeCell ref="B33:B35"/>
    <mergeCell ref="C33:C35"/>
    <mergeCell ref="D33:F33"/>
    <mergeCell ref="D34:F34"/>
    <mergeCell ref="D35:F35"/>
    <mergeCell ref="H21:H22"/>
    <mergeCell ref="I21:I22"/>
    <mergeCell ref="C23:C30"/>
    <mergeCell ref="D23:D28"/>
    <mergeCell ref="E23:E26"/>
  </mergeCells>
  <conditionalFormatting sqref="G35 G36:I36">
    <cfRule type="cellIs" dxfId="334" priority="109" operator="equal">
      <formula>"NO FENECE"</formula>
    </cfRule>
    <cfRule type="containsText" dxfId="333" priority="112" operator="containsText" text="INEFECTIVO">
      <formula>NOT(ISERROR(SEARCH("INEFECTIVO",G35)))</formula>
    </cfRule>
    <cfRule type="containsText" dxfId="332" priority="113" operator="containsText" text="EFECTIVO">
      <formula>NOT(ISERROR(SEARCH("EFECTIVO",G35)))</formula>
    </cfRule>
  </conditionalFormatting>
  <conditionalFormatting sqref="G35:G36">
    <cfRule type="cellIs" dxfId="331" priority="110" operator="equal">
      <formula>"FENECE"</formula>
    </cfRule>
    <cfRule type="containsText" dxfId="330" priority="124" stopIfTrue="1" operator="containsText" text="NO SE FENECE">
      <formula>NOT(ISERROR(SEARCH("NO SE FENECE",G35)))</formula>
    </cfRule>
    <cfRule type="containsText" dxfId="329" priority="125" stopIfTrue="1" operator="containsText" text="SE FENECE">
      <formula>NOT(ISERROR(SEARCH("SE FENECE",G35)))</formula>
    </cfRule>
  </conditionalFormatting>
  <conditionalFormatting sqref="G38">
    <cfRule type="expression" dxfId="328" priority="29">
      <formula>$G$38="CON DEFICIENCIAS"</formula>
    </cfRule>
    <cfRule type="expression" dxfId="327" priority="30">
      <formula>$G$38="EFICIENTE"</formula>
    </cfRule>
    <cfRule type="expression" dxfId="326" priority="31">
      <formula>$G$38="INEFICIENTE"</formula>
    </cfRule>
  </conditionalFormatting>
  <conditionalFormatting sqref="G40">
    <cfRule type="expression" dxfId="325" priority="111">
      <formula>$G$40="CON DEFICIENCIAS"</formula>
    </cfRule>
    <cfRule type="expression" dxfId="324" priority="122">
      <formula>$G$40="EFICIENTE"</formula>
    </cfRule>
    <cfRule type="expression" dxfId="323" priority="123">
      <formula>$G$40="INEFICIENTE"</formula>
    </cfRule>
  </conditionalFormatting>
  <conditionalFormatting sqref="G42">
    <cfRule type="expression" dxfId="322" priority="27">
      <formula>$G$42="EFICAZ"</formula>
    </cfRule>
    <cfRule type="expression" dxfId="321" priority="28">
      <formula>$G$42="INEFICAZ"</formula>
    </cfRule>
  </conditionalFormatting>
  <conditionalFormatting sqref="G34:H34">
    <cfRule type="containsText" dxfId="320" priority="128" stopIfTrue="1" operator="containsText" text="EFICAZ">
      <formula>NOT(ISERROR(SEARCH("EFICAZ",G34)))</formula>
    </cfRule>
    <cfRule type="containsText" dxfId="319" priority="129" stopIfTrue="1" operator="containsText" text="INEFICAZ">
      <formula>NOT(ISERROR(SEARCH("INEFICAZ",G34)))</formula>
    </cfRule>
  </conditionalFormatting>
  <conditionalFormatting sqref="G33:I33">
    <cfRule type="cellIs" dxfId="318" priority="116" operator="between">
      <formula>0.75</formula>
      <formula>1</formula>
    </cfRule>
    <cfRule type="cellIs" dxfId="317" priority="117" operator="between">
      <formula>0</formula>
      <formula>0.749</formula>
    </cfRule>
  </conditionalFormatting>
  <conditionalFormatting sqref="H42">
    <cfRule type="expression" dxfId="316" priority="6">
      <formula>$H$42="EFICIENTE"</formula>
    </cfRule>
    <cfRule type="expression" dxfId="315" priority="7">
      <formula>$H$42="INEFICIENTE"</formula>
    </cfRule>
  </conditionalFormatting>
  <conditionalFormatting sqref="I34">
    <cfRule type="containsText" dxfId="314" priority="126" stopIfTrue="1" operator="containsText" text="ANTIECONOMICA">
      <formula>NOT(ISERROR(SEARCH("ANTIECONOMICA",I34)))</formula>
    </cfRule>
    <cfRule type="containsText" dxfId="313" priority="127" stopIfTrue="1" operator="containsText" text="ECONOMICA">
      <formula>NOT(ISERROR(SEARCH("ECONOMICA",I34)))</formula>
    </cfRule>
  </conditionalFormatting>
  <conditionalFormatting sqref="J33:J34">
    <cfRule type="cellIs" dxfId="312" priority="62" operator="lessThan">
      <formula>0.75</formula>
    </cfRule>
    <cfRule type="cellIs" dxfId="311" priority="63" operator="greaterThanOrEqual">
      <formula>0.75</formula>
    </cfRule>
  </conditionalFormatting>
  <conditionalFormatting sqref="K13">
    <cfRule type="containsText" dxfId="310" priority="86" operator="containsText" text="No razonable">
      <formula>NOT(ISERROR(SEARCH("No razonable",K13)))</formula>
    </cfRule>
    <cfRule type="containsText" dxfId="309" priority="87" operator="containsText" text="neg">
      <formula>NOT(ISERROR(SEARCH("neg",K13)))</formula>
    </cfRule>
    <cfRule type="containsText" dxfId="308" priority="88" operator="containsText" text="Razonable">
      <formula>NOT(ISERROR(SEARCH("Razonable",K13)))</formula>
    </cfRule>
    <cfRule type="containsText" dxfId="307" priority="89" operator="containsText" text="NEGATIVA">
      <formula>NOT(ISERROR(SEARCH("NEGATIVA",K13)))</formula>
    </cfRule>
    <cfRule type="containsText" dxfId="306" priority="90" operator="containsText" text="ABSTENCIÓN">
      <formula>NOT(ISERROR(SEARCH("ABSTENCIÓN",K13)))</formula>
    </cfRule>
    <cfRule type="containsText" dxfId="305" priority="91" operator="containsText" text="CON SALVEDADES">
      <formula>NOT(ISERROR(SEARCH("CON SALVEDADES",K13)))</formula>
    </cfRule>
  </conditionalFormatting>
  <conditionalFormatting sqref="K15">
    <cfRule type="containsText" dxfId="304" priority="77" operator="containsText" text="No Aplica">
      <formula>NOT(ISERROR(SEARCH("No Aplica",K15)))</formula>
    </cfRule>
    <cfRule type="containsText" dxfId="303" priority="92" operator="containsText" text="Inefectivo">
      <formula>NOT(ISERROR(SEARCH("Inefectivo",K15)))</formula>
    </cfRule>
    <cfRule type="expression" dxfId="302" priority="93">
      <formula>"""Con Observaciones"""</formula>
    </cfRule>
    <cfRule type="containsText" dxfId="301" priority="94" operator="containsText" text="Efectivo">
      <formula>NOT(ISERROR(SEARCH("Efectivo",K15)))</formula>
    </cfRule>
  </conditionalFormatting>
  <conditionalFormatting sqref="K16">
    <cfRule type="expression" dxfId="300" priority="51">
      <formula>$I$16="La calificación de los principios de Desempeño Financiero debe ser 0%, porque no hay razonabilidad de Estados Financieros"</formula>
    </cfRule>
  </conditionalFormatting>
  <conditionalFormatting sqref="K18">
    <cfRule type="containsText" dxfId="299" priority="8" operator="containsText" text="No Aplica">
      <formula>NOT(ISERROR(SEARCH("No Aplica",K18)))</formula>
    </cfRule>
    <cfRule type="containsText" dxfId="298" priority="47" operator="containsText" text="Razonable">
      <formula>NOT(ISERROR(SEARCH("Razonable",K18)))</formula>
    </cfRule>
    <cfRule type="expression" dxfId="297" priority="48">
      <formula>$I$18="Abstención"</formula>
    </cfRule>
    <cfRule type="containsText" dxfId="296" priority="49" operator="containsText" text="Con Salvedades">
      <formula>NOT(ISERROR(SEARCH("Con Salvedades",K18)))</formula>
    </cfRule>
    <cfRule type="containsText" dxfId="295" priority="50" operator="containsText" text="No Razonable">
      <formula>NOT(ISERROR(SEARCH("No Razonable",K18)))</formula>
    </cfRule>
  </conditionalFormatting>
  <conditionalFormatting sqref="K20">
    <cfRule type="containsText" dxfId="294" priority="43" operator="containsText" text="Razonable">
      <formula>NOT(ISERROR(SEARCH("Razonable",K20)))</formula>
    </cfRule>
    <cfRule type="expression" dxfId="293" priority="44">
      <formula>$I$20="Abstención"</formula>
    </cfRule>
    <cfRule type="containsText" dxfId="292" priority="45" operator="containsText" text="Con Salvedades">
      <formula>NOT(ISERROR(SEARCH("Con Salvedades",K20)))</formula>
    </cfRule>
    <cfRule type="containsText" dxfId="291" priority="46" operator="containsText" text="No Razonable">
      <formula>NOT(ISERROR(SEARCH("No Razonable",K20)))</formula>
    </cfRule>
  </conditionalFormatting>
  <conditionalFormatting sqref="K22">
    <cfRule type="containsText" dxfId="290" priority="39" operator="containsText" text="Razonable">
      <formula>NOT(ISERROR(SEARCH("Razonable",K22)))</formula>
    </cfRule>
    <cfRule type="containsText" dxfId="289" priority="40" operator="containsText" text="Abstención">
      <formula>NOT(ISERROR(SEARCH("Abstención",K22)))</formula>
    </cfRule>
    <cfRule type="containsText" dxfId="288" priority="41" operator="containsText" text="Con Salvedades">
      <formula>NOT(ISERROR(SEARCH("Con Salvedades",K22)))</formula>
    </cfRule>
    <cfRule type="containsText" dxfId="287" priority="42" operator="containsText" text="No Razonable">
      <formula>NOT(ISERROR(SEARCH("No Razonable",K22)))</formula>
    </cfRule>
  </conditionalFormatting>
  <conditionalFormatting sqref="K25:K26">
    <cfRule type="containsText" dxfId="286" priority="76" operator="containsText" text="No Aplica">
      <formula>NOT(ISERROR(SEARCH("No Aplica",K25)))</formula>
    </cfRule>
    <cfRule type="containsText" dxfId="285" priority="81" operator="containsText" text="Desfavorable">
      <formula>NOT(ISERROR(SEARCH("Desfavorable",K25)))</formula>
    </cfRule>
    <cfRule type="containsText" dxfId="284" priority="82" operator="containsText" text="Favorable">
      <formula>NOT(ISERROR(SEARCH("Favorable",K25)))</formula>
    </cfRule>
    <cfRule type="containsText" dxfId="283" priority="85" operator="containsText" text="Con Observaciones">
      <formula>NOT(ISERROR(SEARCH("Con Observaciones",K25)))</formula>
    </cfRule>
  </conditionalFormatting>
  <conditionalFormatting sqref="K28">
    <cfRule type="containsText" dxfId="282" priority="146" operator="containsText" text="No Favorable">
      <formula>NOT(ISERROR(SEARCH("No Favorable",K28)))</formula>
    </cfRule>
    <cfRule type="containsText" dxfId="281" priority="147" operator="containsText" text="Con Observaciones">
      <formula>NOT(ISERROR(SEARCH("Con Observaciones",K28)))</formula>
    </cfRule>
    <cfRule type="containsText" dxfId="280" priority="148" operator="containsText" text="Favorable">
      <formula>NOT(ISERROR(SEARCH("Favorable",K28)))</formula>
    </cfRule>
  </conditionalFormatting>
  <conditionalFormatting sqref="K30 K32">
    <cfRule type="containsText" dxfId="279" priority="149" operator="containsText" text="Desfavorable">
      <formula>NOT(ISERROR(SEARCH("Desfavorable",K30)))</formula>
    </cfRule>
    <cfRule type="containsText" dxfId="278" priority="150" operator="containsText" text="Con Observaciones">
      <formula>NOT(ISERROR(SEARCH("Con Observaciones",K30)))</formula>
    </cfRule>
    <cfRule type="containsText" dxfId="277" priority="151" operator="containsText" text="Favorable">
      <formula>NOT(ISERROR(SEARCH("Favorable",K30)))</formula>
    </cfRule>
  </conditionalFormatting>
  <conditionalFormatting sqref="K1:K2">
    <cfRule type="cellIs" dxfId="276" priority="1" operator="equal">
      <formula>"INEXISTENTE"</formula>
    </cfRule>
    <cfRule type="cellIs" dxfId="275" priority="2" operator="equal">
      <formula>"INADECUADO"</formula>
    </cfRule>
    <cfRule type="cellIs" dxfId="274" priority="3" operator="equal">
      <formula>"PARCIALMENTE ADECUADO"</formula>
    </cfRule>
    <cfRule type="cellIs" dxfId="273" priority="4" operator="equal">
      <formula>"ADECUADO"</formula>
    </cfRule>
    <cfRule type="cellIs" dxfId="272" priority="5" operator="equal">
      <formula>"ERROR"</formula>
    </cfRule>
  </conditionalFormatting>
  <pageMargins left="0.7" right="0.7" top="0.75" bottom="0.75" header="0.3" footer="0.3"/>
  <ignoredErrors>
    <ignoredError sqref="G13:G18 H24:I26 H14 H28:I28 G28 G20 G22 G24:G26 I23" unlockedFormula="1"/>
  </ignoredErrors>
  <drawing r:id="rId1"/>
  <extLst>
    <ext xmlns:x14="http://schemas.microsoft.com/office/spreadsheetml/2009/9/main" uri="{CCE6A557-97BC-4b89-ADB6-D9C93CAAB3DF}">
      <x14:dataValidations xmlns:xm="http://schemas.microsoft.com/office/excel/2006/main" disablePrompts="1" count="1">
        <x14:dataValidation type="list" allowBlank="1" showInputMessage="1" showErrorMessage="1">
          <x14:formula1>
            <xm:f>LISTAS!$R$3:$R$96</xm:f>
          </x14:formula1>
          <xm:sqref>C5:G5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S134"/>
  <sheetViews>
    <sheetView zoomScaleNormal="100" workbookViewId="0">
      <selection activeCell="C7" sqref="C7:D7"/>
    </sheetView>
  </sheetViews>
  <sheetFormatPr baseColWidth="10" defaultColWidth="11.42578125" defaultRowHeight="14.25" x14ac:dyDescent="0.2"/>
  <cols>
    <col min="1" max="1" width="11.42578125" style="11"/>
    <col min="2" max="2" width="33.140625" style="11" customWidth="1"/>
    <col min="3" max="3" width="29.85546875" style="11" customWidth="1"/>
    <col min="4" max="4" width="31.5703125" style="11" customWidth="1"/>
    <col min="5" max="5" width="21.7109375" style="11" customWidth="1"/>
    <col min="6" max="6" width="12.42578125" style="11" customWidth="1"/>
    <col min="7" max="7" width="17.28515625" style="11" customWidth="1"/>
    <col min="8" max="8" width="21.42578125" style="11" customWidth="1"/>
    <col min="9" max="9" width="24.7109375" style="11" bestFit="1" customWidth="1"/>
    <col min="10" max="10" width="24.7109375" style="11" customWidth="1"/>
    <col min="11" max="11" width="21.28515625" style="11" customWidth="1"/>
    <col min="12" max="14" width="27.42578125" style="11" customWidth="1"/>
    <col min="15" max="15" width="35.7109375" style="11" customWidth="1"/>
    <col min="16" max="17" width="16.28515625" style="11" customWidth="1"/>
    <col min="18" max="18" width="23" style="11" customWidth="1"/>
    <col min="19" max="19" width="17" style="11" customWidth="1"/>
    <col min="20" max="16384" width="11.42578125" style="11"/>
  </cols>
  <sheetData>
    <row r="1" spans="1:19" ht="48" customHeight="1" x14ac:dyDescent="0.2">
      <c r="B1" s="1443"/>
      <c r="C1" s="1448" t="s">
        <v>1798</v>
      </c>
      <c r="D1" s="1449"/>
      <c r="E1" s="1449"/>
      <c r="F1" s="1449"/>
      <c r="G1" s="1449"/>
      <c r="H1" s="1449"/>
      <c r="I1" s="1449"/>
      <c r="J1" s="1449"/>
      <c r="K1" s="1449"/>
      <c r="L1" s="1449"/>
      <c r="M1" s="1449"/>
      <c r="N1" s="1449"/>
      <c r="O1" s="1449"/>
      <c r="P1" s="1449"/>
      <c r="Q1" s="1449"/>
      <c r="R1" s="1450"/>
      <c r="S1" s="1148" t="s">
        <v>1796</v>
      </c>
    </row>
    <row r="2" spans="1:19" ht="28.5" customHeight="1" x14ac:dyDescent="0.2">
      <c r="B2" s="1444"/>
      <c r="C2" s="1451"/>
      <c r="D2" s="1452"/>
      <c r="E2" s="1452"/>
      <c r="F2" s="1452"/>
      <c r="G2" s="1452"/>
      <c r="H2" s="1452"/>
      <c r="I2" s="1452"/>
      <c r="J2" s="1452"/>
      <c r="K2" s="1452"/>
      <c r="L2" s="1452"/>
      <c r="M2" s="1452"/>
      <c r="N2" s="1452"/>
      <c r="O2" s="1452"/>
      <c r="P2" s="1452"/>
      <c r="Q2" s="1452"/>
      <c r="R2" s="1453"/>
      <c r="S2" s="1146" t="s">
        <v>1791</v>
      </c>
    </row>
    <row r="4" spans="1:19" ht="18" x14ac:dyDescent="0.25">
      <c r="B4" s="303"/>
      <c r="C4" s="1445"/>
      <c r="D4" s="1445"/>
      <c r="E4" s="304"/>
      <c r="F4" s="9"/>
      <c r="G4" s="9"/>
      <c r="H4" s="51"/>
    </row>
    <row r="5" spans="1:19" ht="18" x14ac:dyDescent="0.2">
      <c r="C5" s="1446" t="s">
        <v>650</v>
      </c>
      <c r="D5" s="1446"/>
      <c r="E5" s="1446"/>
      <c r="F5" s="1446"/>
      <c r="G5" s="1446"/>
      <c r="H5" s="1446"/>
    </row>
    <row r="6" spans="1:19" ht="15.75" customHeight="1" x14ac:dyDescent="0.2">
      <c r="B6" s="11" t="s">
        <v>0</v>
      </c>
      <c r="C6" s="1447" t="str">
        <f>+FENECIMIENTO!C4</f>
        <v xml:space="preserve">130000 - DIRECCIÓN SECTOR HÁBITAT Y AMBIENTE </v>
      </c>
      <c r="D6" s="1447"/>
    </row>
    <row r="7" spans="1:19" x14ac:dyDescent="0.2">
      <c r="B7" s="11" t="s">
        <v>1</v>
      </c>
      <c r="C7" s="2062" t="str">
        <f>+FENECIMIENTO!C5</f>
        <v>208 - Caja de Vivienda Popular – CVP</v>
      </c>
      <c r="D7" s="2062"/>
      <c r="F7" s="305" t="s">
        <v>2</v>
      </c>
      <c r="G7" s="306"/>
      <c r="H7" s="2063">
        <f>+FENECIMIENTO!J5</f>
        <v>2023</v>
      </c>
      <c r="P7" s="307"/>
      <c r="R7" s="307"/>
      <c r="S7" s="307"/>
    </row>
    <row r="8" spans="1:19" x14ac:dyDescent="0.2">
      <c r="B8" s="11" t="s">
        <v>1781</v>
      </c>
      <c r="C8" s="1289">
        <f>+FENECIMIENTO!C6</f>
        <v>2025</v>
      </c>
      <c r="D8" s="2064"/>
      <c r="F8" s="305" t="s">
        <v>3</v>
      </c>
      <c r="G8" s="306"/>
      <c r="H8" s="2063">
        <f>+FENECIMIENTO!J6</f>
        <v>55</v>
      </c>
    </row>
    <row r="9" spans="1:19" x14ac:dyDescent="0.2">
      <c r="B9" s="11" t="s">
        <v>4</v>
      </c>
      <c r="C9" s="2065">
        <f>+FENECIMIENTO!C7</f>
        <v>45580</v>
      </c>
      <c r="D9" s="2063"/>
      <c r="F9" s="305" t="s">
        <v>5</v>
      </c>
      <c r="G9" s="306"/>
      <c r="H9" s="2066">
        <f>+FENECIMIENTO!J7</f>
        <v>45580</v>
      </c>
    </row>
    <row r="10" spans="1:19" ht="15.75" x14ac:dyDescent="0.25">
      <c r="B10" s="49"/>
      <c r="E10" s="49"/>
      <c r="F10" s="49"/>
      <c r="G10" s="49"/>
      <c r="I10" s="11" t="s">
        <v>651</v>
      </c>
      <c r="J10" s="1454" t="s">
        <v>652</v>
      </c>
      <c r="K10" s="1454"/>
      <c r="L10" s="1454"/>
      <c r="M10" s="1454"/>
      <c r="N10" s="1454"/>
      <c r="O10" s="1454"/>
      <c r="P10" s="1454"/>
      <c r="Q10" s="1454"/>
      <c r="R10" s="309"/>
    </row>
    <row r="11" spans="1:19" s="51" customFormat="1" ht="120" x14ac:dyDescent="0.2">
      <c r="A11" s="2077" t="s">
        <v>653</v>
      </c>
      <c r="B11" s="2077" t="s">
        <v>654</v>
      </c>
      <c r="C11" s="2077" t="s">
        <v>655</v>
      </c>
      <c r="D11" s="2077" t="s">
        <v>656</v>
      </c>
      <c r="E11" s="2077" t="s">
        <v>657</v>
      </c>
      <c r="F11" s="2077" t="s">
        <v>658</v>
      </c>
      <c r="G11" s="2077" t="s">
        <v>659</v>
      </c>
      <c r="H11" s="2077" t="s">
        <v>660</v>
      </c>
      <c r="I11" s="2077" t="s">
        <v>661</v>
      </c>
      <c r="J11" s="2077" t="s">
        <v>662</v>
      </c>
      <c r="K11" s="2077" t="s">
        <v>663</v>
      </c>
      <c r="L11" s="2077" t="s">
        <v>664</v>
      </c>
      <c r="M11" s="2077" t="s">
        <v>665</v>
      </c>
      <c r="N11" s="2077" t="s">
        <v>666</v>
      </c>
      <c r="O11" s="2077" t="s">
        <v>667</v>
      </c>
      <c r="P11" s="2077" t="s">
        <v>668</v>
      </c>
      <c r="Q11" s="2077" t="s">
        <v>666</v>
      </c>
      <c r="R11" s="2077" t="s">
        <v>669</v>
      </c>
      <c r="S11" s="2077" t="s">
        <v>670</v>
      </c>
    </row>
    <row r="12" spans="1:19" s="51" customFormat="1" x14ac:dyDescent="0.2">
      <c r="A12" s="224">
        <v>1</v>
      </c>
      <c r="B12" s="224" t="s">
        <v>671</v>
      </c>
      <c r="C12" s="2078">
        <v>25000000000</v>
      </c>
      <c r="D12" s="2078">
        <v>23000000000</v>
      </c>
      <c r="E12" s="2078"/>
      <c r="F12" s="224"/>
      <c r="G12" s="224"/>
      <c r="H12" s="224"/>
      <c r="I12" s="224"/>
      <c r="J12" s="224"/>
      <c r="K12" s="224"/>
      <c r="L12" s="2079"/>
      <c r="M12" s="2079"/>
      <c r="N12" s="2079"/>
      <c r="O12" s="224"/>
      <c r="P12" s="224"/>
      <c r="Q12" s="224"/>
      <c r="R12" s="2078">
        <v>25000000000</v>
      </c>
      <c r="S12" s="224"/>
    </row>
    <row r="13" spans="1:19" s="51" customFormat="1" x14ac:dyDescent="0.2">
      <c r="A13" s="224">
        <v>12</v>
      </c>
      <c r="B13" s="224" t="s">
        <v>672</v>
      </c>
      <c r="C13" s="2078"/>
      <c r="D13" s="2078"/>
      <c r="E13" s="2078"/>
      <c r="F13" s="224"/>
      <c r="G13" s="224"/>
      <c r="H13" s="224"/>
      <c r="I13" s="224"/>
      <c r="J13" s="224"/>
      <c r="K13" s="224"/>
      <c r="L13" s="2079"/>
      <c r="M13" s="2079"/>
      <c r="N13" s="2079"/>
      <c r="O13" s="224"/>
      <c r="P13" s="224"/>
      <c r="Q13" s="224"/>
      <c r="R13" s="2078"/>
      <c r="S13" s="224"/>
    </row>
    <row r="14" spans="1:19" s="51" customFormat="1" x14ac:dyDescent="0.2">
      <c r="A14" s="224">
        <v>123</v>
      </c>
      <c r="B14" s="224" t="s">
        <v>673</v>
      </c>
      <c r="C14" s="2078"/>
      <c r="D14" s="2078"/>
      <c r="E14" s="2078"/>
      <c r="F14" s="224"/>
      <c r="G14" s="224"/>
      <c r="H14" s="224"/>
      <c r="I14" s="224"/>
      <c r="J14" s="224"/>
      <c r="K14" s="224"/>
      <c r="L14" s="2079"/>
      <c r="M14" s="2079"/>
      <c r="N14" s="2079"/>
      <c r="O14" s="224"/>
      <c r="P14" s="224"/>
      <c r="Q14" s="224"/>
      <c r="R14" s="2078"/>
      <c r="S14" s="224"/>
    </row>
    <row r="15" spans="1:19" s="51" customFormat="1" x14ac:dyDescent="0.2">
      <c r="A15" s="224"/>
      <c r="B15" s="224"/>
      <c r="C15" s="2078"/>
      <c r="D15" s="2078"/>
      <c r="E15" s="2078"/>
      <c r="F15" s="224"/>
      <c r="G15" s="224"/>
      <c r="H15" s="224"/>
      <c r="I15" s="224"/>
      <c r="J15" s="224"/>
      <c r="K15" s="224"/>
      <c r="L15" s="2079"/>
      <c r="M15" s="2079"/>
      <c r="N15" s="2079"/>
      <c r="O15" s="224"/>
      <c r="P15" s="224"/>
      <c r="Q15" s="224"/>
      <c r="R15" s="2078"/>
      <c r="S15" s="224"/>
    </row>
    <row r="16" spans="1:19" s="51" customFormat="1" x14ac:dyDescent="0.2">
      <c r="A16" s="224"/>
      <c r="B16" s="224"/>
      <c r="C16" s="2078"/>
      <c r="D16" s="2078"/>
      <c r="E16" s="2078"/>
      <c r="F16" s="224"/>
      <c r="G16" s="224"/>
      <c r="H16" s="224"/>
      <c r="I16" s="224"/>
      <c r="J16" s="224"/>
      <c r="K16" s="224"/>
      <c r="L16" s="2079"/>
      <c r="M16" s="2079"/>
      <c r="N16" s="2079"/>
      <c r="O16" s="224"/>
      <c r="P16" s="224"/>
      <c r="Q16" s="224"/>
      <c r="R16" s="2078"/>
      <c r="S16" s="224"/>
    </row>
    <row r="17" spans="1:19" s="51" customFormat="1" x14ac:dyDescent="0.2">
      <c r="A17" s="224"/>
      <c r="B17" s="224"/>
      <c r="C17" s="2078"/>
      <c r="D17" s="2078"/>
      <c r="E17" s="2078"/>
      <c r="F17" s="224"/>
      <c r="G17" s="224"/>
      <c r="H17" s="224"/>
      <c r="I17" s="224"/>
      <c r="J17" s="224"/>
      <c r="K17" s="224"/>
      <c r="L17" s="2079"/>
      <c r="M17" s="2079"/>
      <c r="N17" s="2079"/>
      <c r="O17" s="224"/>
      <c r="P17" s="224"/>
      <c r="Q17" s="224"/>
      <c r="R17" s="2078"/>
      <c r="S17" s="224"/>
    </row>
    <row r="18" spans="1:19" s="51" customFormat="1" x14ac:dyDescent="0.2">
      <c r="A18" s="224"/>
      <c r="B18" s="224"/>
      <c r="C18" s="2078"/>
      <c r="D18" s="2078"/>
      <c r="E18" s="2078"/>
      <c r="F18" s="224"/>
      <c r="G18" s="224"/>
      <c r="H18" s="224"/>
      <c r="I18" s="224"/>
      <c r="J18" s="224"/>
      <c r="K18" s="224"/>
      <c r="L18" s="2079"/>
      <c r="M18" s="2079"/>
      <c r="N18" s="2079"/>
      <c r="O18" s="224"/>
      <c r="P18" s="224"/>
      <c r="Q18" s="224"/>
      <c r="R18" s="2078"/>
      <c r="S18" s="224"/>
    </row>
    <row r="19" spans="1:19" s="51" customFormat="1" x14ac:dyDescent="0.2">
      <c r="A19" s="224"/>
      <c r="B19" s="224"/>
      <c r="C19" s="2078"/>
      <c r="D19" s="2078"/>
      <c r="E19" s="2078"/>
      <c r="F19" s="224"/>
      <c r="G19" s="224"/>
      <c r="H19" s="224"/>
      <c r="I19" s="224"/>
      <c r="J19" s="224"/>
      <c r="K19" s="224"/>
      <c r="L19" s="2079"/>
      <c r="M19" s="2079"/>
      <c r="N19" s="2079"/>
      <c r="O19" s="224"/>
      <c r="P19" s="224"/>
      <c r="Q19" s="224"/>
      <c r="R19" s="2078"/>
      <c r="S19" s="224"/>
    </row>
    <row r="20" spans="1:19" s="51" customFormat="1" x14ac:dyDescent="0.2">
      <c r="A20" s="224"/>
      <c r="B20" s="224"/>
      <c r="C20" s="2078"/>
      <c r="D20" s="2078"/>
      <c r="E20" s="2078"/>
      <c r="F20" s="224"/>
      <c r="G20" s="224"/>
      <c r="H20" s="224"/>
      <c r="I20" s="224"/>
      <c r="J20" s="224"/>
      <c r="K20" s="224"/>
      <c r="L20" s="2079"/>
      <c r="M20" s="2079"/>
      <c r="N20" s="2079"/>
      <c r="O20" s="224"/>
      <c r="P20" s="224"/>
      <c r="Q20" s="224"/>
      <c r="R20" s="2078"/>
      <c r="S20" s="224"/>
    </row>
    <row r="21" spans="1:19" s="51" customFormat="1" x14ac:dyDescent="0.2">
      <c r="A21" s="224"/>
      <c r="B21" s="224"/>
      <c r="C21" s="2078"/>
      <c r="D21" s="2078"/>
      <c r="E21" s="2078"/>
      <c r="F21" s="224"/>
      <c r="G21" s="224"/>
      <c r="H21" s="224"/>
      <c r="I21" s="224"/>
      <c r="J21" s="224"/>
      <c r="K21" s="224"/>
      <c r="L21" s="2079"/>
      <c r="M21" s="2079"/>
      <c r="N21" s="2079"/>
      <c r="O21" s="224"/>
      <c r="P21" s="224"/>
      <c r="Q21" s="224"/>
      <c r="R21" s="2078"/>
      <c r="S21" s="224"/>
    </row>
    <row r="22" spans="1:19" s="51" customFormat="1" x14ac:dyDescent="0.2">
      <c r="A22" s="224"/>
      <c r="B22" s="224"/>
      <c r="C22" s="2078"/>
      <c r="D22" s="2078"/>
      <c r="E22" s="2078"/>
      <c r="F22" s="224"/>
      <c r="G22" s="224"/>
      <c r="H22" s="224"/>
      <c r="I22" s="224"/>
      <c r="J22" s="224"/>
      <c r="K22" s="224"/>
      <c r="L22" s="2079"/>
      <c r="M22" s="2079"/>
      <c r="N22" s="2079"/>
      <c r="O22" s="224"/>
      <c r="P22" s="224"/>
      <c r="Q22" s="224"/>
      <c r="R22" s="2078"/>
      <c r="S22" s="224"/>
    </row>
    <row r="23" spans="1:19" s="51" customFormat="1" x14ac:dyDescent="0.2">
      <c r="A23" s="224"/>
      <c r="B23" s="224"/>
      <c r="C23" s="2078"/>
      <c r="D23" s="2078"/>
      <c r="E23" s="2078"/>
      <c r="F23" s="224"/>
      <c r="G23" s="224"/>
      <c r="H23" s="224"/>
      <c r="I23" s="224"/>
      <c r="J23" s="224"/>
      <c r="K23" s="224"/>
      <c r="L23" s="2079"/>
      <c r="M23" s="2079"/>
      <c r="N23" s="2079"/>
      <c r="O23" s="224"/>
      <c r="P23" s="224"/>
      <c r="Q23" s="224"/>
      <c r="R23" s="2078"/>
      <c r="S23" s="224"/>
    </row>
    <row r="24" spans="1:19" s="51" customFormat="1" x14ac:dyDescent="0.2">
      <c r="A24" s="224"/>
      <c r="B24" s="224"/>
      <c r="C24" s="2078"/>
      <c r="D24" s="2078"/>
      <c r="E24" s="2078"/>
      <c r="F24" s="224"/>
      <c r="G24" s="224"/>
      <c r="H24" s="224"/>
      <c r="I24" s="224"/>
      <c r="J24" s="224"/>
      <c r="K24" s="224"/>
      <c r="L24" s="2079"/>
      <c r="M24" s="2079"/>
      <c r="N24" s="2079"/>
      <c r="O24" s="224"/>
      <c r="P24" s="224"/>
      <c r="Q24" s="224"/>
      <c r="R24" s="2078"/>
      <c r="S24" s="224"/>
    </row>
    <row r="25" spans="1:19" s="51" customFormat="1" x14ac:dyDescent="0.2">
      <c r="A25" s="224"/>
      <c r="B25" s="224"/>
      <c r="C25" s="2078"/>
      <c r="D25" s="2078"/>
      <c r="E25" s="2078"/>
      <c r="F25" s="224"/>
      <c r="G25" s="224"/>
      <c r="H25" s="224"/>
      <c r="I25" s="224"/>
      <c r="J25" s="224"/>
      <c r="K25" s="224"/>
      <c r="L25" s="2079"/>
      <c r="M25" s="2079"/>
      <c r="N25" s="2079"/>
      <c r="O25" s="224"/>
      <c r="P25" s="224"/>
      <c r="Q25" s="224"/>
      <c r="R25" s="2078"/>
      <c r="S25" s="224"/>
    </row>
    <row r="26" spans="1:19" s="51" customFormat="1" x14ac:dyDescent="0.2">
      <c r="A26" s="224"/>
      <c r="B26" s="224"/>
      <c r="C26" s="2078"/>
      <c r="D26" s="2078"/>
      <c r="E26" s="2078"/>
      <c r="F26" s="224"/>
      <c r="G26" s="224"/>
      <c r="H26" s="224"/>
      <c r="I26" s="224"/>
      <c r="J26" s="224"/>
      <c r="K26" s="224"/>
      <c r="L26" s="2079"/>
      <c r="M26" s="2079"/>
      <c r="N26" s="2079"/>
      <c r="O26" s="224"/>
      <c r="P26" s="224"/>
      <c r="Q26" s="224"/>
      <c r="R26" s="2078"/>
      <c r="S26" s="224"/>
    </row>
    <row r="27" spans="1:19" s="51" customFormat="1" x14ac:dyDescent="0.2">
      <c r="A27" s="224"/>
      <c r="B27" s="224"/>
      <c r="C27" s="2078"/>
      <c r="D27" s="2078"/>
      <c r="E27" s="2078"/>
      <c r="F27" s="224"/>
      <c r="G27" s="224"/>
      <c r="H27" s="224"/>
      <c r="I27" s="224"/>
      <c r="J27" s="224"/>
      <c r="K27" s="224"/>
      <c r="L27" s="2079"/>
      <c r="M27" s="2079"/>
      <c r="N27" s="2079"/>
      <c r="O27" s="224"/>
      <c r="P27" s="224"/>
      <c r="Q27" s="224"/>
      <c r="R27" s="2078"/>
      <c r="S27" s="224"/>
    </row>
    <row r="28" spans="1:19" s="51" customFormat="1" x14ac:dyDescent="0.2">
      <c r="A28" s="224"/>
      <c r="B28" s="224"/>
      <c r="C28" s="2078"/>
      <c r="D28" s="2078"/>
      <c r="E28" s="2078"/>
      <c r="F28" s="224"/>
      <c r="G28" s="224"/>
      <c r="H28" s="224"/>
      <c r="I28" s="224"/>
      <c r="J28" s="224"/>
      <c r="K28" s="224"/>
      <c r="L28" s="2079"/>
      <c r="M28" s="2079"/>
      <c r="N28" s="2079"/>
      <c r="O28" s="224"/>
      <c r="P28" s="224"/>
      <c r="Q28" s="224"/>
      <c r="R28" s="2078"/>
      <c r="S28" s="224"/>
    </row>
    <row r="29" spans="1:19" s="51" customFormat="1" x14ac:dyDescent="0.2">
      <c r="A29" s="224"/>
      <c r="B29" s="224"/>
      <c r="C29" s="2078"/>
      <c r="D29" s="2078"/>
      <c r="E29" s="2078"/>
      <c r="F29" s="224"/>
      <c r="G29" s="224"/>
      <c r="H29" s="224"/>
      <c r="I29" s="224"/>
      <c r="J29" s="224"/>
      <c r="K29" s="224"/>
      <c r="L29" s="2079"/>
      <c r="M29" s="2079"/>
      <c r="N29" s="2079"/>
      <c r="O29" s="224"/>
      <c r="P29" s="224"/>
      <c r="Q29" s="224"/>
      <c r="R29" s="2078"/>
      <c r="S29" s="224"/>
    </row>
    <row r="30" spans="1:19" s="51" customFormat="1" x14ac:dyDescent="0.2">
      <c r="A30" s="224"/>
      <c r="B30" s="224"/>
      <c r="C30" s="2078"/>
      <c r="D30" s="2078"/>
      <c r="E30" s="2078"/>
      <c r="F30" s="224"/>
      <c r="G30" s="224"/>
      <c r="H30" s="224"/>
      <c r="I30" s="224"/>
      <c r="J30" s="224"/>
      <c r="K30" s="224"/>
      <c r="L30" s="2079"/>
      <c r="M30" s="2079"/>
      <c r="N30" s="2079"/>
      <c r="O30" s="224"/>
      <c r="P30" s="224"/>
      <c r="Q30" s="224"/>
      <c r="R30" s="2078"/>
      <c r="S30" s="224"/>
    </row>
    <row r="31" spans="1:19" s="51" customFormat="1" x14ac:dyDescent="0.2">
      <c r="A31" s="224"/>
      <c r="B31" s="224"/>
      <c r="C31" s="2078"/>
      <c r="D31" s="2078"/>
      <c r="E31" s="2078"/>
      <c r="F31" s="224"/>
      <c r="G31" s="224"/>
      <c r="H31" s="224"/>
      <c r="I31" s="224"/>
      <c r="J31" s="224"/>
      <c r="K31" s="224"/>
      <c r="L31" s="2079"/>
      <c r="M31" s="2079"/>
      <c r="N31" s="2079"/>
      <c r="O31" s="224"/>
      <c r="P31" s="224"/>
      <c r="Q31" s="224"/>
      <c r="R31" s="2078"/>
      <c r="S31" s="224"/>
    </row>
    <row r="32" spans="1:19" s="51" customFormat="1" x14ac:dyDescent="0.2">
      <c r="A32" s="224"/>
      <c r="B32" s="224"/>
      <c r="C32" s="2078"/>
      <c r="D32" s="2078"/>
      <c r="E32" s="2078"/>
      <c r="F32" s="224"/>
      <c r="G32" s="224"/>
      <c r="H32" s="224"/>
      <c r="I32" s="224"/>
      <c r="J32" s="224"/>
      <c r="K32" s="224"/>
      <c r="L32" s="2079"/>
      <c r="M32" s="2079"/>
      <c r="N32" s="2079"/>
      <c r="O32" s="224"/>
      <c r="P32" s="224"/>
      <c r="Q32" s="224"/>
      <c r="R32" s="2078"/>
      <c r="S32" s="224"/>
    </row>
    <row r="33" spans="1:19" s="51" customFormat="1" x14ac:dyDescent="0.2">
      <c r="A33" s="224"/>
      <c r="B33" s="224"/>
      <c r="C33" s="2078"/>
      <c r="D33" s="2078"/>
      <c r="E33" s="2078"/>
      <c r="F33" s="224"/>
      <c r="G33" s="224"/>
      <c r="H33" s="224"/>
      <c r="I33" s="224"/>
      <c r="J33" s="224"/>
      <c r="K33" s="224"/>
      <c r="L33" s="2079"/>
      <c r="M33" s="2079"/>
      <c r="N33" s="2079"/>
      <c r="O33" s="224"/>
      <c r="P33" s="224"/>
      <c r="Q33" s="224"/>
      <c r="R33" s="2078"/>
      <c r="S33" s="224"/>
    </row>
    <row r="34" spans="1:19" s="51" customFormat="1" x14ac:dyDescent="0.2">
      <c r="A34" s="224"/>
      <c r="B34" s="224"/>
      <c r="C34" s="2078"/>
      <c r="D34" s="2078"/>
      <c r="E34" s="2078"/>
      <c r="F34" s="224"/>
      <c r="G34" s="224"/>
      <c r="H34" s="224"/>
      <c r="I34" s="224"/>
      <c r="J34" s="224"/>
      <c r="K34" s="224"/>
      <c r="L34" s="2079"/>
      <c r="M34" s="2079"/>
      <c r="N34" s="2079"/>
      <c r="O34" s="224"/>
      <c r="P34" s="224"/>
      <c r="Q34" s="224"/>
      <c r="R34" s="2078"/>
      <c r="S34" s="224"/>
    </row>
    <row r="35" spans="1:19" s="51" customFormat="1" x14ac:dyDescent="0.2">
      <c r="A35" s="224"/>
      <c r="B35" s="224"/>
      <c r="C35" s="2078"/>
      <c r="D35" s="2078"/>
      <c r="E35" s="2078"/>
      <c r="F35" s="224"/>
      <c r="G35" s="224"/>
      <c r="H35" s="224"/>
      <c r="I35" s="224"/>
      <c r="J35" s="224"/>
      <c r="K35" s="224"/>
      <c r="L35" s="2079"/>
      <c r="M35" s="2079"/>
      <c r="N35" s="2079"/>
      <c r="O35" s="224"/>
      <c r="P35" s="224"/>
      <c r="Q35" s="224"/>
      <c r="R35" s="2078"/>
      <c r="S35" s="224"/>
    </row>
    <row r="36" spans="1:19" s="51" customFormat="1" x14ac:dyDescent="0.2">
      <c r="A36" s="224"/>
      <c r="B36" s="224"/>
      <c r="C36" s="2078"/>
      <c r="D36" s="2078"/>
      <c r="E36" s="2078"/>
      <c r="F36" s="224"/>
      <c r="G36" s="224"/>
      <c r="H36" s="224"/>
      <c r="I36" s="224"/>
      <c r="J36" s="224"/>
      <c r="K36" s="224"/>
      <c r="L36" s="2079"/>
      <c r="M36" s="2079"/>
      <c r="N36" s="2079"/>
      <c r="O36" s="224"/>
      <c r="P36" s="224"/>
      <c r="Q36" s="224"/>
      <c r="R36" s="2078"/>
      <c r="S36" s="224"/>
    </row>
    <row r="37" spans="1:19" s="51" customFormat="1" x14ac:dyDescent="0.2">
      <c r="A37" s="224"/>
      <c r="B37" s="224"/>
      <c r="C37" s="2078"/>
      <c r="D37" s="2078"/>
      <c r="E37" s="2078"/>
      <c r="F37" s="224"/>
      <c r="G37" s="224"/>
      <c r="H37" s="224"/>
      <c r="I37" s="224"/>
      <c r="J37" s="224"/>
      <c r="K37" s="224"/>
      <c r="L37" s="2079"/>
      <c r="M37" s="2079"/>
      <c r="N37" s="2079"/>
      <c r="O37" s="224"/>
      <c r="P37" s="224"/>
      <c r="Q37" s="224"/>
      <c r="R37" s="2078"/>
      <c r="S37" s="224"/>
    </row>
    <row r="38" spans="1:19" s="51" customFormat="1" x14ac:dyDescent="0.2">
      <c r="A38" s="224"/>
      <c r="B38" s="224"/>
      <c r="C38" s="2078"/>
      <c r="D38" s="2078"/>
      <c r="E38" s="2078"/>
      <c r="F38" s="224"/>
      <c r="G38" s="224"/>
      <c r="H38" s="224"/>
      <c r="I38" s="224"/>
      <c r="J38" s="224"/>
      <c r="K38" s="224"/>
      <c r="L38" s="2079"/>
      <c r="M38" s="2079"/>
      <c r="N38" s="2079"/>
      <c r="O38" s="224"/>
      <c r="P38" s="224"/>
      <c r="Q38" s="224"/>
      <c r="R38" s="2078"/>
      <c r="S38" s="224"/>
    </row>
    <row r="39" spans="1:19" s="51" customFormat="1" x14ac:dyDescent="0.2">
      <c r="A39" s="224"/>
      <c r="B39" s="224"/>
      <c r="C39" s="2078"/>
      <c r="D39" s="2078"/>
      <c r="E39" s="2078"/>
      <c r="F39" s="224"/>
      <c r="G39" s="224"/>
      <c r="H39" s="224"/>
      <c r="I39" s="224"/>
      <c r="J39" s="224"/>
      <c r="K39" s="224"/>
      <c r="L39" s="2079"/>
      <c r="M39" s="2079"/>
      <c r="N39" s="2079"/>
      <c r="O39" s="224"/>
      <c r="P39" s="224"/>
      <c r="Q39" s="224"/>
      <c r="R39" s="2078"/>
      <c r="S39" s="224"/>
    </row>
    <row r="40" spans="1:19" s="51" customFormat="1" x14ac:dyDescent="0.2">
      <c r="A40" s="224"/>
      <c r="B40" s="224"/>
      <c r="C40" s="2078"/>
      <c r="D40" s="2078"/>
      <c r="E40" s="2078"/>
      <c r="F40" s="224"/>
      <c r="G40" s="224"/>
      <c r="H40" s="224"/>
      <c r="I40" s="224"/>
      <c r="J40" s="224"/>
      <c r="K40" s="224"/>
      <c r="L40" s="2079"/>
      <c r="M40" s="2079"/>
      <c r="N40" s="2079"/>
      <c r="O40" s="224"/>
      <c r="P40" s="224"/>
      <c r="Q40" s="224"/>
      <c r="R40" s="2078"/>
      <c r="S40" s="224"/>
    </row>
    <row r="41" spans="1:19" s="51" customFormat="1" x14ac:dyDescent="0.2">
      <c r="A41" s="224"/>
      <c r="B41" s="224"/>
      <c r="C41" s="2078"/>
      <c r="D41" s="2078"/>
      <c r="E41" s="2078"/>
      <c r="F41" s="224"/>
      <c r="G41" s="224"/>
      <c r="H41" s="224"/>
      <c r="I41" s="224"/>
      <c r="J41" s="224"/>
      <c r="K41" s="224"/>
      <c r="L41" s="2079"/>
      <c r="M41" s="2079"/>
      <c r="N41" s="2079"/>
      <c r="O41" s="224"/>
      <c r="P41" s="224"/>
      <c r="Q41" s="224"/>
      <c r="R41" s="2078"/>
      <c r="S41" s="224"/>
    </row>
    <row r="42" spans="1:19" s="51" customFormat="1" x14ac:dyDescent="0.2">
      <c r="A42" s="224"/>
      <c r="B42" s="224"/>
      <c r="C42" s="2078"/>
      <c r="D42" s="2078"/>
      <c r="E42" s="2078"/>
      <c r="F42" s="224"/>
      <c r="G42" s="224"/>
      <c r="H42" s="224"/>
      <c r="I42" s="224"/>
      <c r="J42" s="224"/>
      <c r="K42" s="224"/>
      <c r="L42" s="2079"/>
      <c r="M42" s="2079"/>
      <c r="N42" s="2079"/>
      <c r="O42" s="224"/>
      <c r="P42" s="224"/>
      <c r="Q42" s="224"/>
      <c r="R42" s="2078"/>
      <c r="S42" s="224"/>
    </row>
    <row r="43" spans="1:19" s="51" customFormat="1" x14ac:dyDescent="0.2">
      <c r="A43" s="224"/>
      <c r="B43" s="224"/>
      <c r="C43" s="2078"/>
      <c r="D43" s="2078"/>
      <c r="E43" s="2078"/>
      <c r="F43" s="224"/>
      <c r="G43" s="224"/>
      <c r="H43" s="224"/>
      <c r="I43" s="224"/>
      <c r="J43" s="224"/>
      <c r="K43" s="224"/>
      <c r="L43" s="2079"/>
      <c r="M43" s="2079"/>
      <c r="N43" s="2079"/>
      <c r="O43" s="224"/>
      <c r="P43" s="224"/>
      <c r="Q43" s="224"/>
      <c r="R43" s="2078"/>
      <c r="S43" s="224"/>
    </row>
    <row r="44" spans="1:19" s="51" customFormat="1" x14ac:dyDescent="0.2">
      <c r="A44" s="224"/>
      <c r="B44" s="224"/>
      <c r="C44" s="2078"/>
      <c r="D44" s="2078"/>
      <c r="E44" s="2078"/>
      <c r="F44" s="224"/>
      <c r="G44" s="224"/>
      <c r="H44" s="224"/>
      <c r="I44" s="224"/>
      <c r="J44" s="224"/>
      <c r="K44" s="224"/>
      <c r="L44" s="2079"/>
      <c r="M44" s="2079"/>
      <c r="N44" s="2079"/>
      <c r="O44" s="224"/>
      <c r="P44" s="224"/>
      <c r="Q44" s="224"/>
      <c r="R44" s="2078"/>
      <c r="S44" s="224"/>
    </row>
    <row r="45" spans="1:19" s="51" customFormat="1" x14ac:dyDescent="0.2">
      <c r="A45" s="224"/>
      <c r="B45" s="224"/>
      <c r="C45" s="2078"/>
      <c r="D45" s="2078"/>
      <c r="E45" s="2078"/>
      <c r="F45" s="224"/>
      <c r="G45" s="224"/>
      <c r="H45" s="224"/>
      <c r="I45" s="224"/>
      <c r="J45" s="224"/>
      <c r="K45" s="224"/>
      <c r="L45" s="2079"/>
      <c r="M45" s="2079"/>
      <c r="N45" s="2079"/>
      <c r="O45" s="224"/>
      <c r="P45" s="224"/>
      <c r="Q45" s="224"/>
      <c r="R45" s="2078"/>
      <c r="S45" s="224"/>
    </row>
    <row r="46" spans="1:19" s="51" customFormat="1" x14ac:dyDescent="0.2">
      <c r="A46" s="224"/>
      <c r="B46" s="224"/>
      <c r="C46" s="2078"/>
      <c r="D46" s="2078"/>
      <c r="E46" s="2078"/>
      <c r="F46" s="224"/>
      <c r="G46" s="224"/>
      <c r="H46" s="224"/>
      <c r="I46" s="224"/>
      <c r="J46" s="224"/>
      <c r="K46" s="224"/>
      <c r="L46" s="2079"/>
      <c r="M46" s="2079"/>
      <c r="N46" s="2079"/>
      <c r="O46" s="224"/>
      <c r="P46" s="224"/>
      <c r="Q46" s="224"/>
      <c r="R46" s="2078"/>
      <c r="S46" s="224"/>
    </row>
    <row r="47" spans="1:19" s="51" customFormat="1" x14ac:dyDescent="0.2">
      <c r="A47" s="224"/>
      <c r="B47" s="224"/>
      <c r="C47" s="2078"/>
      <c r="D47" s="2078"/>
      <c r="E47" s="2078"/>
      <c r="F47" s="224"/>
      <c r="G47" s="224"/>
      <c r="H47" s="224"/>
      <c r="I47" s="224"/>
      <c r="J47" s="224"/>
      <c r="K47" s="224"/>
      <c r="L47" s="2079"/>
      <c r="M47" s="2079"/>
      <c r="N47" s="2079"/>
      <c r="O47" s="224"/>
      <c r="P47" s="224"/>
      <c r="Q47" s="224"/>
      <c r="R47" s="2078"/>
      <c r="S47" s="224"/>
    </row>
    <row r="48" spans="1:19" s="51" customFormat="1" x14ac:dyDescent="0.2">
      <c r="A48" s="224"/>
      <c r="B48" s="224"/>
      <c r="C48" s="2078"/>
      <c r="D48" s="2078"/>
      <c r="E48" s="2078"/>
      <c r="F48" s="224"/>
      <c r="G48" s="224"/>
      <c r="H48" s="224"/>
      <c r="I48" s="224"/>
      <c r="J48" s="224"/>
      <c r="K48" s="224"/>
      <c r="L48" s="2079"/>
      <c r="M48" s="2079"/>
      <c r="N48" s="2079"/>
      <c r="O48" s="224"/>
      <c r="P48" s="224"/>
      <c r="Q48" s="224"/>
      <c r="R48" s="2078"/>
      <c r="S48" s="224"/>
    </row>
    <row r="49" spans="1:19" s="51" customFormat="1" x14ac:dyDescent="0.2">
      <c r="A49" s="224"/>
      <c r="B49" s="224"/>
      <c r="C49" s="2078"/>
      <c r="D49" s="2078"/>
      <c r="E49" s="2078"/>
      <c r="F49" s="224"/>
      <c r="G49" s="224"/>
      <c r="H49" s="224"/>
      <c r="I49" s="224"/>
      <c r="J49" s="224"/>
      <c r="K49" s="224"/>
      <c r="L49" s="2079"/>
      <c r="M49" s="2079"/>
      <c r="N49" s="2079"/>
      <c r="O49" s="224"/>
      <c r="P49" s="224"/>
      <c r="Q49" s="224"/>
      <c r="R49" s="2078"/>
      <c r="S49" s="224"/>
    </row>
    <row r="50" spans="1:19" s="51" customFormat="1" x14ac:dyDescent="0.2">
      <c r="A50" s="224"/>
      <c r="B50" s="224"/>
      <c r="C50" s="2078"/>
      <c r="D50" s="2078"/>
      <c r="E50" s="2078"/>
      <c r="F50" s="224"/>
      <c r="G50" s="224"/>
      <c r="H50" s="224"/>
      <c r="I50" s="224"/>
      <c r="J50" s="224"/>
      <c r="K50" s="224"/>
      <c r="L50" s="2079"/>
      <c r="M50" s="2079"/>
      <c r="N50" s="2079"/>
      <c r="O50" s="224"/>
      <c r="P50" s="224"/>
      <c r="Q50" s="224"/>
      <c r="R50" s="2078"/>
      <c r="S50" s="224"/>
    </row>
    <row r="51" spans="1:19" s="51" customFormat="1" x14ac:dyDescent="0.2">
      <c r="A51" s="224"/>
      <c r="B51" s="224"/>
      <c r="C51" s="2078"/>
      <c r="D51" s="2078"/>
      <c r="E51" s="2078"/>
      <c r="F51" s="224"/>
      <c r="G51" s="224"/>
      <c r="H51" s="224"/>
      <c r="I51" s="224"/>
      <c r="J51" s="224"/>
      <c r="K51" s="224"/>
      <c r="L51" s="2079"/>
      <c r="M51" s="2079"/>
      <c r="N51" s="2079"/>
      <c r="O51" s="224"/>
      <c r="P51" s="224"/>
      <c r="Q51" s="224"/>
      <c r="R51" s="2078"/>
      <c r="S51" s="224"/>
    </row>
    <row r="52" spans="1:19" s="51" customFormat="1" x14ac:dyDescent="0.2">
      <c r="A52" s="224"/>
      <c r="B52" s="224"/>
      <c r="C52" s="2078"/>
      <c r="D52" s="2078"/>
      <c r="E52" s="2078"/>
      <c r="F52" s="224"/>
      <c r="G52" s="224"/>
      <c r="H52" s="224"/>
      <c r="I52" s="224"/>
      <c r="J52" s="224"/>
      <c r="K52" s="224"/>
      <c r="L52" s="2079"/>
      <c r="M52" s="2079"/>
      <c r="N52" s="2079"/>
      <c r="O52" s="224"/>
      <c r="P52" s="224"/>
      <c r="Q52" s="224"/>
      <c r="R52" s="2078"/>
      <c r="S52" s="224"/>
    </row>
    <row r="53" spans="1:19" s="51" customFormat="1" x14ac:dyDescent="0.2">
      <c r="A53" s="224"/>
      <c r="B53" s="224"/>
      <c r="C53" s="2078"/>
      <c r="D53" s="2078"/>
      <c r="E53" s="2078"/>
      <c r="F53" s="224"/>
      <c r="G53" s="224"/>
      <c r="H53" s="224"/>
      <c r="I53" s="224"/>
      <c r="J53" s="224"/>
      <c r="K53" s="224"/>
      <c r="L53" s="2079"/>
      <c r="M53" s="2079"/>
      <c r="N53" s="2079"/>
      <c r="O53" s="224"/>
      <c r="P53" s="224"/>
      <c r="Q53" s="224"/>
      <c r="R53" s="2078"/>
      <c r="S53" s="224"/>
    </row>
    <row r="54" spans="1:19" s="51" customFormat="1" x14ac:dyDescent="0.2">
      <c r="A54" s="224"/>
      <c r="B54" s="224"/>
      <c r="C54" s="2078"/>
      <c r="D54" s="2078"/>
      <c r="E54" s="2078"/>
      <c r="F54" s="224"/>
      <c r="G54" s="224"/>
      <c r="H54" s="224"/>
      <c r="I54" s="224"/>
      <c r="J54" s="224"/>
      <c r="K54" s="224"/>
      <c r="L54" s="2079"/>
      <c r="M54" s="2079"/>
      <c r="N54" s="2079"/>
      <c r="O54" s="224"/>
      <c r="P54" s="224"/>
      <c r="Q54" s="224"/>
      <c r="R54" s="2078"/>
      <c r="S54" s="224"/>
    </row>
    <row r="55" spans="1:19" s="51" customFormat="1" x14ac:dyDescent="0.2">
      <c r="A55" s="224"/>
      <c r="B55" s="224"/>
      <c r="C55" s="2078"/>
      <c r="D55" s="2078"/>
      <c r="E55" s="2078"/>
      <c r="F55" s="224"/>
      <c r="G55" s="224"/>
      <c r="H55" s="224"/>
      <c r="I55" s="224"/>
      <c r="J55" s="224"/>
      <c r="K55" s="224"/>
      <c r="L55" s="2079"/>
      <c r="M55" s="2079"/>
      <c r="N55" s="2079"/>
      <c r="O55" s="224"/>
      <c r="P55" s="224"/>
      <c r="Q55" s="224"/>
      <c r="R55" s="2078"/>
      <c r="S55" s="224"/>
    </row>
    <row r="56" spans="1:19" s="51" customFormat="1" x14ac:dyDescent="0.2">
      <c r="A56" s="224"/>
      <c r="B56" s="224"/>
      <c r="C56" s="2078"/>
      <c r="D56" s="2078"/>
      <c r="E56" s="2078"/>
      <c r="F56" s="224"/>
      <c r="G56" s="224"/>
      <c r="H56" s="224"/>
      <c r="I56" s="224"/>
      <c r="J56" s="224"/>
      <c r="K56" s="224"/>
      <c r="L56" s="2079"/>
      <c r="M56" s="2079"/>
      <c r="N56" s="2079"/>
      <c r="O56" s="224"/>
      <c r="P56" s="224"/>
      <c r="Q56" s="224"/>
      <c r="R56" s="2078"/>
      <c r="S56" s="224"/>
    </row>
    <row r="57" spans="1:19" s="51" customFormat="1" x14ac:dyDescent="0.2">
      <c r="A57" s="224"/>
      <c r="B57" s="224"/>
      <c r="C57" s="2078"/>
      <c r="D57" s="2078"/>
      <c r="E57" s="2078"/>
      <c r="F57" s="224"/>
      <c r="G57" s="224"/>
      <c r="H57" s="224"/>
      <c r="I57" s="224"/>
      <c r="J57" s="224"/>
      <c r="K57" s="224"/>
      <c r="L57" s="2079"/>
      <c r="M57" s="2079"/>
      <c r="N57" s="2079"/>
      <c r="O57" s="224"/>
      <c r="P57" s="224"/>
      <c r="Q57" s="224"/>
      <c r="R57" s="2078"/>
      <c r="S57" s="224"/>
    </row>
    <row r="58" spans="1:19" s="51" customFormat="1" x14ac:dyDescent="0.2">
      <c r="A58" s="224"/>
      <c r="B58" s="224"/>
      <c r="C58" s="2078"/>
      <c r="D58" s="2078"/>
      <c r="E58" s="2078"/>
      <c r="F58" s="224"/>
      <c r="G58" s="224"/>
      <c r="H58" s="224"/>
      <c r="I58" s="224"/>
      <c r="J58" s="224"/>
      <c r="K58" s="224"/>
      <c r="L58" s="224"/>
      <c r="M58" s="224"/>
      <c r="N58" s="224"/>
      <c r="O58" s="224"/>
      <c r="P58" s="224"/>
      <c r="Q58" s="224"/>
      <c r="R58" s="2078"/>
      <c r="S58" s="224"/>
    </row>
    <row r="59" spans="1:19" s="51" customFormat="1" x14ac:dyDescent="0.2">
      <c r="A59" s="224">
        <v>222</v>
      </c>
      <c r="B59" s="224" t="s">
        <v>674</v>
      </c>
      <c r="C59" s="2078">
        <v>15000000000</v>
      </c>
      <c r="D59" s="2078">
        <v>14000000000</v>
      </c>
      <c r="E59" s="2078"/>
      <c r="F59" s="224"/>
      <c r="G59" s="224"/>
      <c r="H59" s="224"/>
      <c r="I59" s="224"/>
      <c r="J59" s="224"/>
      <c r="K59" s="224"/>
      <c r="L59" s="2079"/>
      <c r="M59" s="2079"/>
      <c r="N59" s="2079"/>
      <c r="O59" s="224"/>
      <c r="P59" s="224"/>
      <c r="Q59" s="224"/>
      <c r="R59" s="2078"/>
      <c r="S59" s="224"/>
    </row>
    <row r="60" spans="1:19" s="51" customFormat="1" x14ac:dyDescent="0.2">
      <c r="A60" s="224">
        <v>2244</v>
      </c>
      <c r="B60" s="224" t="s">
        <v>675</v>
      </c>
      <c r="C60" s="2078"/>
      <c r="D60" s="2078"/>
      <c r="E60" s="2078"/>
      <c r="F60" s="224"/>
      <c r="G60" s="224"/>
      <c r="H60" s="224"/>
      <c r="I60" s="224"/>
      <c r="J60" s="224"/>
      <c r="K60" s="224"/>
      <c r="L60" s="2079"/>
      <c r="M60" s="2079"/>
      <c r="N60" s="2079"/>
      <c r="O60" s="224"/>
      <c r="P60" s="224"/>
      <c r="Q60" s="224"/>
      <c r="R60" s="2078"/>
      <c r="S60" s="224"/>
    </row>
    <row r="61" spans="1:19" s="51" customFormat="1" x14ac:dyDescent="0.2">
      <c r="A61" s="224"/>
      <c r="B61" s="224"/>
      <c r="C61" s="2078"/>
      <c r="D61" s="2078"/>
      <c r="E61" s="2078"/>
      <c r="F61" s="224"/>
      <c r="G61" s="224"/>
      <c r="H61" s="224"/>
      <c r="I61" s="224"/>
      <c r="J61" s="224"/>
      <c r="K61" s="224"/>
      <c r="L61" s="2079"/>
      <c r="M61" s="2079"/>
      <c r="N61" s="2079"/>
      <c r="O61" s="224"/>
      <c r="P61" s="224"/>
      <c r="Q61" s="224"/>
      <c r="R61" s="2078"/>
      <c r="S61" s="224"/>
    </row>
    <row r="62" spans="1:19" s="51" customFormat="1" x14ac:dyDescent="0.2">
      <c r="A62" s="224"/>
      <c r="B62" s="224"/>
      <c r="C62" s="2078"/>
      <c r="D62" s="2078"/>
      <c r="E62" s="2078"/>
      <c r="F62" s="224"/>
      <c r="G62" s="224"/>
      <c r="H62" s="224"/>
      <c r="I62" s="224"/>
      <c r="J62" s="224"/>
      <c r="K62" s="224"/>
      <c r="L62" s="2079"/>
      <c r="M62" s="2079"/>
      <c r="N62" s="2079"/>
      <c r="O62" s="224"/>
      <c r="P62" s="224"/>
      <c r="Q62" s="224"/>
      <c r="R62" s="2078"/>
      <c r="S62" s="224"/>
    </row>
    <row r="63" spans="1:19" s="51" customFormat="1" x14ac:dyDescent="0.2">
      <c r="A63" s="224"/>
      <c r="B63" s="224"/>
      <c r="C63" s="2078"/>
      <c r="D63" s="2078"/>
      <c r="E63" s="2078"/>
      <c r="F63" s="224"/>
      <c r="G63" s="224"/>
      <c r="H63" s="224"/>
      <c r="I63" s="224"/>
      <c r="J63" s="224"/>
      <c r="K63" s="224"/>
      <c r="L63" s="2079"/>
      <c r="M63" s="2079"/>
      <c r="N63" s="2079"/>
      <c r="O63" s="224"/>
      <c r="P63" s="224"/>
      <c r="Q63" s="224"/>
      <c r="R63" s="2078"/>
      <c r="S63" s="224"/>
    </row>
    <row r="64" spans="1:19" s="51" customFormat="1" x14ac:dyDescent="0.2">
      <c r="A64" s="224"/>
      <c r="B64" s="224"/>
      <c r="C64" s="2078"/>
      <c r="D64" s="2078"/>
      <c r="E64" s="2078"/>
      <c r="F64" s="224"/>
      <c r="G64" s="224"/>
      <c r="H64" s="224"/>
      <c r="I64" s="224"/>
      <c r="J64" s="224"/>
      <c r="K64" s="224"/>
      <c r="L64" s="2079"/>
      <c r="M64" s="2079"/>
      <c r="N64" s="2079"/>
      <c r="O64" s="224"/>
      <c r="P64" s="224"/>
      <c r="Q64" s="224"/>
      <c r="R64" s="2078"/>
      <c r="S64" s="224"/>
    </row>
    <row r="65" spans="1:19" s="51" customFormat="1" x14ac:dyDescent="0.2">
      <c r="A65" s="224"/>
      <c r="B65" s="224"/>
      <c r="C65" s="2078"/>
      <c r="D65" s="2078"/>
      <c r="E65" s="2078"/>
      <c r="F65" s="224"/>
      <c r="G65" s="224"/>
      <c r="H65" s="224"/>
      <c r="I65" s="224"/>
      <c r="J65" s="224"/>
      <c r="K65" s="224"/>
      <c r="L65" s="2079"/>
      <c r="M65" s="2079"/>
      <c r="N65" s="2079"/>
      <c r="O65" s="224"/>
      <c r="P65" s="224"/>
      <c r="Q65" s="224"/>
      <c r="R65" s="2078"/>
      <c r="S65" s="224"/>
    </row>
    <row r="66" spans="1:19" s="51" customFormat="1" x14ac:dyDescent="0.2">
      <c r="A66" s="224"/>
      <c r="B66" s="224"/>
      <c r="C66" s="2078"/>
      <c r="D66" s="2078"/>
      <c r="E66" s="2078"/>
      <c r="F66" s="224"/>
      <c r="G66" s="224"/>
      <c r="H66" s="224"/>
      <c r="I66" s="224"/>
      <c r="J66" s="224"/>
      <c r="K66" s="224"/>
      <c r="L66" s="2079"/>
      <c r="M66" s="2079"/>
      <c r="N66" s="2079"/>
      <c r="O66" s="224"/>
      <c r="P66" s="224"/>
      <c r="Q66" s="224"/>
      <c r="R66" s="2078"/>
      <c r="S66" s="224"/>
    </row>
    <row r="67" spans="1:19" s="51" customFormat="1" x14ac:dyDescent="0.2">
      <c r="A67" s="224"/>
      <c r="B67" s="224"/>
      <c r="C67" s="2078"/>
      <c r="D67" s="2078"/>
      <c r="E67" s="2078"/>
      <c r="F67" s="224"/>
      <c r="G67" s="224"/>
      <c r="H67" s="224"/>
      <c r="I67" s="224"/>
      <c r="J67" s="224"/>
      <c r="K67" s="224"/>
      <c r="L67" s="2079"/>
      <c r="M67" s="2079"/>
      <c r="N67" s="2079"/>
      <c r="O67" s="224"/>
      <c r="P67" s="224"/>
      <c r="Q67" s="224"/>
      <c r="R67" s="2078"/>
      <c r="S67" s="224"/>
    </row>
    <row r="68" spans="1:19" s="51" customFormat="1" x14ac:dyDescent="0.2">
      <c r="A68" s="224"/>
      <c r="B68" s="224"/>
      <c r="C68" s="2078"/>
      <c r="D68" s="2078"/>
      <c r="E68" s="2078"/>
      <c r="F68" s="224"/>
      <c r="G68" s="224"/>
      <c r="H68" s="224"/>
      <c r="I68" s="224"/>
      <c r="J68" s="224"/>
      <c r="K68" s="224"/>
      <c r="L68" s="2079"/>
      <c r="M68" s="2079"/>
      <c r="N68" s="2079"/>
      <c r="O68" s="224"/>
      <c r="P68" s="224"/>
      <c r="Q68" s="224"/>
      <c r="R68" s="2078"/>
      <c r="S68" s="224"/>
    </row>
    <row r="69" spans="1:19" s="51" customFormat="1" x14ac:dyDescent="0.2">
      <c r="A69" s="224"/>
      <c r="B69" s="224"/>
      <c r="C69" s="2078"/>
      <c r="D69" s="2078"/>
      <c r="E69" s="2078"/>
      <c r="F69" s="224"/>
      <c r="G69" s="224"/>
      <c r="H69" s="224"/>
      <c r="I69" s="224"/>
      <c r="J69" s="224"/>
      <c r="K69" s="224"/>
      <c r="L69" s="2079"/>
      <c r="M69" s="2079"/>
      <c r="N69" s="2079"/>
      <c r="O69" s="224"/>
      <c r="P69" s="224"/>
      <c r="Q69" s="224"/>
      <c r="R69" s="2078"/>
      <c r="S69" s="224"/>
    </row>
    <row r="70" spans="1:19" s="51" customFormat="1" x14ac:dyDescent="0.2">
      <c r="A70" s="224"/>
      <c r="B70" s="224"/>
      <c r="C70" s="2078"/>
      <c r="D70" s="2078"/>
      <c r="E70" s="2078"/>
      <c r="F70" s="224"/>
      <c r="G70" s="224"/>
      <c r="H70" s="224"/>
      <c r="I70" s="224"/>
      <c r="J70" s="224"/>
      <c r="K70" s="224"/>
      <c r="L70" s="2079"/>
      <c r="M70" s="2079"/>
      <c r="N70" s="2079"/>
      <c r="O70" s="224"/>
      <c r="P70" s="224"/>
      <c r="Q70" s="224"/>
      <c r="R70" s="2078"/>
      <c r="S70" s="224"/>
    </row>
    <row r="71" spans="1:19" s="51" customFormat="1" x14ac:dyDescent="0.2">
      <c r="A71" s="224"/>
      <c r="B71" s="224"/>
      <c r="C71" s="2078"/>
      <c r="D71" s="2078"/>
      <c r="E71" s="2078"/>
      <c r="F71" s="224"/>
      <c r="G71" s="224"/>
      <c r="H71" s="224"/>
      <c r="I71" s="224"/>
      <c r="J71" s="224"/>
      <c r="K71" s="224"/>
      <c r="L71" s="2079"/>
      <c r="M71" s="2079"/>
      <c r="N71" s="2079"/>
      <c r="O71" s="224"/>
      <c r="P71" s="224"/>
      <c r="Q71" s="224"/>
      <c r="R71" s="2078"/>
      <c r="S71" s="224"/>
    </row>
    <row r="72" spans="1:19" s="51" customFormat="1" x14ac:dyDescent="0.2">
      <c r="A72" s="224"/>
      <c r="B72" s="224"/>
      <c r="C72" s="2078"/>
      <c r="D72" s="2078"/>
      <c r="E72" s="2078"/>
      <c r="F72" s="224"/>
      <c r="G72" s="224"/>
      <c r="H72" s="224"/>
      <c r="I72" s="224"/>
      <c r="J72" s="224"/>
      <c r="K72" s="224"/>
      <c r="L72" s="2079"/>
      <c r="M72" s="2079"/>
      <c r="N72" s="2079"/>
      <c r="O72" s="224"/>
      <c r="P72" s="224"/>
      <c r="Q72" s="224"/>
      <c r="R72" s="2078"/>
      <c r="S72" s="224"/>
    </row>
    <row r="73" spans="1:19" s="51" customFormat="1" x14ac:dyDescent="0.2">
      <c r="A73" s="224"/>
      <c r="B73" s="224"/>
      <c r="C73" s="2078"/>
      <c r="D73" s="2078"/>
      <c r="E73" s="2078"/>
      <c r="F73" s="224"/>
      <c r="G73" s="224"/>
      <c r="H73" s="224"/>
      <c r="I73" s="224"/>
      <c r="J73" s="224"/>
      <c r="K73" s="224"/>
      <c r="L73" s="2079"/>
      <c r="M73" s="2079"/>
      <c r="N73" s="2079"/>
      <c r="O73" s="224"/>
      <c r="P73" s="224"/>
      <c r="Q73" s="224"/>
      <c r="R73" s="2078"/>
      <c r="S73" s="224"/>
    </row>
    <row r="74" spans="1:19" s="51" customFormat="1" x14ac:dyDescent="0.2">
      <c r="A74" s="224"/>
      <c r="B74" s="224"/>
      <c r="C74" s="2078"/>
      <c r="D74" s="2078"/>
      <c r="E74" s="2078"/>
      <c r="F74" s="224"/>
      <c r="G74" s="224"/>
      <c r="H74" s="224"/>
      <c r="I74" s="224"/>
      <c r="J74" s="224"/>
      <c r="K74" s="224"/>
      <c r="L74" s="2079"/>
      <c r="M74" s="2079"/>
      <c r="N74" s="2079"/>
      <c r="O74" s="224"/>
      <c r="P74" s="224"/>
      <c r="Q74" s="224"/>
      <c r="R74" s="2078"/>
      <c r="S74" s="224"/>
    </row>
    <row r="75" spans="1:19" s="51" customFormat="1" x14ac:dyDescent="0.2">
      <c r="A75" s="224"/>
      <c r="B75" s="224"/>
      <c r="C75" s="2078"/>
      <c r="D75" s="2078"/>
      <c r="E75" s="2078"/>
      <c r="F75" s="224"/>
      <c r="G75" s="224"/>
      <c r="H75" s="224"/>
      <c r="I75" s="224"/>
      <c r="J75" s="224"/>
      <c r="K75" s="224"/>
      <c r="L75" s="2079"/>
      <c r="M75" s="2079"/>
      <c r="N75" s="2079"/>
      <c r="O75" s="224"/>
      <c r="P75" s="224"/>
      <c r="Q75" s="224"/>
      <c r="R75" s="2078"/>
      <c r="S75" s="224"/>
    </row>
    <row r="76" spans="1:19" s="51" customFormat="1" x14ac:dyDescent="0.2">
      <c r="A76" s="224"/>
      <c r="B76" s="224"/>
      <c r="C76" s="2078"/>
      <c r="D76" s="2078"/>
      <c r="E76" s="2078"/>
      <c r="F76" s="224"/>
      <c r="G76" s="224"/>
      <c r="H76" s="224"/>
      <c r="I76" s="224"/>
      <c r="J76" s="224"/>
      <c r="K76" s="224"/>
      <c r="L76" s="2079"/>
      <c r="M76" s="2079"/>
      <c r="N76" s="2079"/>
      <c r="O76" s="224"/>
      <c r="P76" s="224"/>
      <c r="Q76" s="224"/>
      <c r="R76" s="2078"/>
      <c r="S76" s="224"/>
    </row>
    <row r="77" spans="1:19" s="51" customFormat="1" x14ac:dyDescent="0.2">
      <c r="A77" s="224"/>
      <c r="B77" s="224"/>
      <c r="C77" s="2078"/>
      <c r="D77" s="2078"/>
      <c r="E77" s="2078"/>
      <c r="F77" s="224"/>
      <c r="G77" s="224"/>
      <c r="H77" s="224"/>
      <c r="I77" s="224"/>
      <c r="J77" s="224"/>
      <c r="K77" s="224"/>
      <c r="L77" s="2079"/>
      <c r="M77" s="2079"/>
      <c r="N77" s="2079"/>
      <c r="O77" s="224"/>
      <c r="P77" s="224"/>
      <c r="Q77" s="224"/>
      <c r="R77" s="2078"/>
      <c r="S77" s="224"/>
    </row>
    <row r="78" spans="1:19" s="51" customFormat="1" x14ac:dyDescent="0.2">
      <c r="A78" s="224"/>
      <c r="B78" s="224"/>
      <c r="C78" s="2078"/>
      <c r="D78" s="2078"/>
      <c r="E78" s="2078"/>
      <c r="F78" s="224"/>
      <c r="G78" s="224"/>
      <c r="H78" s="224"/>
      <c r="I78" s="224"/>
      <c r="J78" s="224"/>
      <c r="K78" s="224"/>
      <c r="L78" s="2079"/>
      <c r="M78" s="2079"/>
      <c r="N78" s="2079"/>
      <c r="O78" s="224"/>
      <c r="P78" s="224"/>
      <c r="Q78" s="224"/>
      <c r="R78" s="2078"/>
      <c r="S78" s="224"/>
    </row>
    <row r="79" spans="1:19" s="51" customFormat="1" x14ac:dyDescent="0.2">
      <c r="A79" s="224"/>
      <c r="B79" s="224"/>
      <c r="C79" s="2078"/>
      <c r="D79" s="2078"/>
      <c r="E79" s="2078"/>
      <c r="F79" s="224"/>
      <c r="G79" s="224"/>
      <c r="H79" s="224"/>
      <c r="I79" s="224"/>
      <c r="J79" s="224"/>
      <c r="K79" s="224"/>
      <c r="L79" s="2079"/>
      <c r="M79" s="2079"/>
      <c r="N79" s="2079"/>
      <c r="O79" s="224"/>
      <c r="P79" s="224"/>
      <c r="Q79" s="224"/>
      <c r="R79" s="2078"/>
      <c r="S79" s="224"/>
    </row>
    <row r="80" spans="1:19" s="51" customFormat="1" x14ac:dyDescent="0.2">
      <c r="A80" s="224"/>
      <c r="B80" s="224"/>
      <c r="C80" s="2078"/>
      <c r="D80" s="2078"/>
      <c r="E80" s="2078"/>
      <c r="F80" s="224"/>
      <c r="G80" s="224"/>
      <c r="H80" s="224"/>
      <c r="I80" s="224"/>
      <c r="J80" s="224"/>
      <c r="K80" s="224"/>
      <c r="L80" s="2079"/>
      <c r="M80" s="2079"/>
      <c r="N80" s="2079"/>
      <c r="O80" s="224"/>
      <c r="P80" s="224"/>
      <c r="Q80" s="224"/>
      <c r="R80" s="2078"/>
      <c r="S80" s="224"/>
    </row>
    <row r="81" spans="1:19" s="51" customFormat="1" x14ac:dyDescent="0.2">
      <c r="A81" s="224"/>
      <c r="B81" s="224"/>
      <c r="C81" s="2078"/>
      <c r="D81" s="2078"/>
      <c r="E81" s="2078"/>
      <c r="F81" s="224"/>
      <c r="G81" s="224"/>
      <c r="H81" s="224"/>
      <c r="I81" s="224"/>
      <c r="J81" s="224"/>
      <c r="K81" s="224"/>
      <c r="L81" s="2079"/>
      <c r="M81" s="2079"/>
      <c r="N81" s="2079"/>
      <c r="O81" s="224"/>
      <c r="P81" s="224"/>
      <c r="Q81" s="224"/>
      <c r="R81" s="2078"/>
      <c r="S81" s="224"/>
    </row>
    <row r="82" spans="1:19" s="51" customFormat="1" x14ac:dyDescent="0.2">
      <c r="A82" s="224"/>
      <c r="B82" s="224"/>
      <c r="C82" s="2078"/>
      <c r="D82" s="2078"/>
      <c r="E82" s="2078"/>
      <c r="F82" s="224"/>
      <c r="G82" s="224"/>
      <c r="H82" s="224"/>
      <c r="I82" s="224"/>
      <c r="J82" s="224"/>
      <c r="K82" s="224"/>
      <c r="L82" s="2079"/>
      <c r="M82" s="2079"/>
      <c r="N82" s="2079"/>
      <c r="O82" s="224"/>
      <c r="P82" s="224"/>
      <c r="Q82" s="224"/>
      <c r="R82" s="2078"/>
      <c r="S82" s="224"/>
    </row>
    <row r="83" spans="1:19" s="51" customFormat="1" x14ac:dyDescent="0.2">
      <c r="A83" s="224"/>
      <c r="B83" s="224"/>
      <c r="C83" s="2078"/>
      <c r="D83" s="2078"/>
      <c r="E83" s="2078"/>
      <c r="F83" s="224"/>
      <c r="G83" s="224"/>
      <c r="H83" s="224"/>
      <c r="I83" s="224"/>
      <c r="J83" s="224"/>
      <c r="K83" s="224"/>
      <c r="L83" s="2079"/>
      <c r="M83" s="2079"/>
      <c r="N83" s="2079"/>
      <c r="O83" s="224"/>
      <c r="P83" s="224"/>
      <c r="Q83" s="224"/>
      <c r="R83" s="2078"/>
      <c r="S83" s="224"/>
    </row>
    <row r="84" spans="1:19" s="51" customFormat="1" x14ac:dyDescent="0.2">
      <c r="A84" s="224"/>
      <c r="B84" s="224"/>
      <c r="C84" s="2078"/>
      <c r="D84" s="2078"/>
      <c r="E84" s="2078"/>
      <c r="F84" s="224"/>
      <c r="G84" s="224"/>
      <c r="H84" s="224"/>
      <c r="I84" s="224"/>
      <c r="J84" s="224"/>
      <c r="K84" s="224"/>
      <c r="L84" s="2079"/>
      <c r="M84" s="2079"/>
      <c r="N84" s="2079"/>
      <c r="O84" s="224"/>
      <c r="P84" s="224"/>
      <c r="Q84" s="224"/>
      <c r="R84" s="2078"/>
      <c r="S84" s="224"/>
    </row>
    <row r="85" spans="1:19" s="51" customFormat="1" x14ac:dyDescent="0.2">
      <c r="A85" s="224">
        <v>3</v>
      </c>
      <c r="B85" s="224" t="s">
        <v>676</v>
      </c>
      <c r="C85" s="2078">
        <v>5000000000</v>
      </c>
      <c r="D85" s="2078">
        <v>4000000000</v>
      </c>
      <c r="E85" s="2078"/>
      <c r="F85" s="224"/>
      <c r="G85" s="224"/>
      <c r="H85" s="224"/>
      <c r="I85" s="224"/>
      <c r="J85" s="224"/>
      <c r="K85" s="224"/>
      <c r="L85" s="2079"/>
      <c r="M85" s="2079"/>
      <c r="N85" s="2079"/>
      <c r="O85" s="224"/>
      <c r="P85" s="224"/>
      <c r="Q85" s="224"/>
      <c r="R85" s="2078"/>
      <c r="S85" s="224"/>
    </row>
    <row r="86" spans="1:19" s="51" customFormat="1" x14ac:dyDescent="0.2">
      <c r="A86" s="224">
        <v>31</v>
      </c>
      <c r="B86" s="224" t="s">
        <v>677</v>
      </c>
      <c r="C86" s="2078">
        <v>2000000000</v>
      </c>
      <c r="D86" s="2078">
        <v>2000000000</v>
      </c>
      <c r="E86" s="2078"/>
      <c r="F86" s="224"/>
      <c r="G86" s="224"/>
      <c r="H86" s="224"/>
      <c r="I86" s="224"/>
      <c r="J86" s="224"/>
      <c r="K86" s="224"/>
      <c r="L86" s="2079"/>
      <c r="M86" s="2079"/>
      <c r="N86" s="2079"/>
      <c r="O86" s="224"/>
      <c r="P86" s="224"/>
      <c r="Q86" s="224"/>
      <c r="R86" s="2078"/>
      <c r="S86" s="224"/>
    </row>
    <row r="87" spans="1:19" s="51" customFormat="1" x14ac:dyDescent="0.2">
      <c r="A87" s="224">
        <v>352</v>
      </c>
      <c r="B87" s="224" t="s">
        <v>678</v>
      </c>
      <c r="C87" s="2078">
        <v>3000000000</v>
      </c>
      <c r="D87" s="2078">
        <v>3000000000</v>
      </c>
      <c r="E87" s="2078"/>
      <c r="F87" s="224"/>
      <c r="G87" s="224"/>
      <c r="H87" s="224"/>
      <c r="I87" s="224"/>
      <c r="J87" s="224"/>
      <c r="K87" s="224"/>
      <c r="L87" s="2079"/>
      <c r="M87" s="2079"/>
      <c r="N87" s="2079"/>
      <c r="O87" s="224"/>
      <c r="P87" s="224"/>
      <c r="Q87" s="224"/>
      <c r="R87" s="2078"/>
      <c r="S87" s="224"/>
    </row>
    <row r="88" spans="1:19" s="51" customFormat="1" x14ac:dyDescent="0.2">
      <c r="A88" s="224"/>
      <c r="B88" s="224"/>
      <c r="C88" s="2078"/>
      <c r="D88" s="2078"/>
      <c r="E88" s="2078"/>
      <c r="F88" s="224"/>
      <c r="G88" s="224"/>
      <c r="H88" s="224"/>
      <c r="I88" s="224"/>
      <c r="J88" s="224"/>
      <c r="K88" s="224"/>
      <c r="L88" s="2079"/>
      <c r="M88" s="2079"/>
      <c r="N88" s="2079"/>
      <c r="O88" s="224"/>
      <c r="P88" s="224"/>
      <c r="Q88" s="224"/>
      <c r="R88" s="2078"/>
      <c r="S88" s="224"/>
    </row>
    <row r="89" spans="1:19" s="51" customFormat="1" x14ac:dyDescent="0.2">
      <c r="A89" s="224"/>
      <c r="B89" s="224"/>
      <c r="C89" s="2078"/>
      <c r="D89" s="2078"/>
      <c r="E89" s="2078"/>
      <c r="F89" s="224"/>
      <c r="G89" s="224"/>
      <c r="H89" s="224"/>
      <c r="I89" s="224"/>
      <c r="J89" s="224"/>
      <c r="K89" s="224"/>
      <c r="L89" s="2079"/>
      <c r="M89" s="2079"/>
      <c r="N89" s="2079"/>
      <c r="O89" s="224"/>
      <c r="P89" s="224"/>
      <c r="Q89" s="224"/>
      <c r="R89" s="2078"/>
      <c r="S89" s="224"/>
    </row>
    <row r="90" spans="1:19" s="51" customFormat="1" x14ac:dyDescent="0.2">
      <c r="A90" s="224"/>
      <c r="B90" s="224"/>
      <c r="C90" s="2078"/>
      <c r="D90" s="2078"/>
      <c r="E90" s="2078"/>
      <c r="F90" s="224"/>
      <c r="G90" s="224"/>
      <c r="H90" s="224"/>
      <c r="I90" s="224"/>
      <c r="J90" s="224"/>
      <c r="K90" s="224"/>
      <c r="L90" s="2079"/>
      <c r="M90" s="2079"/>
      <c r="N90" s="2079"/>
      <c r="O90" s="224"/>
      <c r="P90" s="224"/>
      <c r="Q90" s="224"/>
      <c r="R90" s="2078"/>
      <c r="S90" s="224"/>
    </row>
    <row r="91" spans="1:19" s="51" customFormat="1" x14ac:dyDescent="0.2">
      <c r="A91" s="224"/>
      <c r="B91" s="224"/>
      <c r="C91" s="2078"/>
      <c r="D91" s="2078"/>
      <c r="E91" s="2078"/>
      <c r="F91" s="224"/>
      <c r="G91" s="224"/>
      <c r="H91" s="224"/>
      <c r="I91" s="224"/>
      <c r="J91" s="224"/>
      <c r="K91" s="224"/>
      <c r="L91" s="2079"/>
      <c r="M91" s="2079"/>
      <c r="N91" s="2079"/>
      <c r="O91" s="224"/>
      <c r="P91" s="224"/>
      <c r="Q91" s="224"/>
      <c r="R91" s="2078"/>
      <c r="S91" s="224"/>
    </row>
    <row r="92" spans="1:19" s="51" customFormat="1" x14ac:dyDescent="0.2">
      <c r="A92" s="224"/>
      <c r="B92" s="224"/>
      <c r="C92" s="2078"/>
      <c r="D92" s="2078"/>
      <c r="E92" s="2078"/>
      <c r="F92" s="224"/>
      <c r="G92" s="224"/>
      <c r="H92" s="224"/>
      <c r="I92" s="224"/>
      <c r="J92" s="224"/>
      <c r="K92" s="224"/>
      <c r="L92" s="2079"/>
      <c r="M92" s="2079"/>
      <c r="N92" s="2079"/>
      <c r="O92" s="224"/>
      <c r="P92" s="224"/>
      <c r="Q92" s="224"/>
      <c r="R92" s="2078"/>
      <c r="S92" s="224"/>
    </row>
    <row r="93" spans="1:19" s="51" customFormat="1" x14ac:dyDescent="0.2">
      <c r="A93" s="224"/>
      <c r="B93" s="224"/>
      <c r="C93" s="2078"/>
      <c r="D93" s="2078"/>
      <c r="E93" s="2078"/>
      <c r="F93" s="224"/>
      <c r="G93" s="224"/>
      <c r="H93" s="224"/>
      <c r="I93" s="224"/>
      <c r="J93" s="224"/>
      <c r="K93" s="224"/>
      <c r="L93" s="2079"/>
      <c r="M93" s="2079"/>
      <c r="N93" s="2079"/>
      <c r="O93" s="224"/>
      <c r="P93" s="224"/>
      <c r="Q93" s="224"/>
      <c r="R93" s="2078"/>
      <c r="S93" s="224"/>
    </row>
    <row r="94" spans="1:19" s="51" customFormat="1" x14ac:dyDescent="0.2">
      <c r="A94" s="224"/>
      <c r="B94" s="224"/>
      <c r="C94" s="2078"/>
      <c r="D94" s="2078"/>
      <c r="E94" s="2078"/>
      <c r="F94" s="224"/>
      <c r="G94" s="224"/>
      <c r="H94" s="224"/>
      <c r="I94" s="224"/>
      <c r="J94" s="224"/>
      <c r="K94" s="224"/>
      <c r="L94" s="2079"/>
      <c r="M94" s="2079"/>
      <c r="N94" s="2079"/>
      <c r="O94" s="224"/>
      <c r="P94" s="224"/>
      <c r="Q94" s="224"/>
      <c r="R94" s="2078"/>
      <c r="S94" s="224"/>
    </row>
    <row r="95" spans="1:19" s="51" customFormat="1" x14ac:dyDescent="0.2">
      <c r="A95" s="224"/>
      <c r="B95" s="224"/>
      <c r="C95" s="2078"/>
      <c r="D95" s="2078"/>
      <c r="E95" s="2078"/>
      <c r="F95" s="224"/>
      <c r="G95" s="224"/>
      <c r="H95" s="224"/>
      <c r="I95" s="224"/>
      <c r="J95" s="224"/>
      <c r="K95" s="224"/>
      <c r="L95" s="2079"/>
      <c r="M95" s="2079"/>
      <c r="N95" s="2079"/>
      <c r="O95" s="224"/>
      <c r="P95" s="224"/>
      <c r="Q95" s="224"/>
      <c r="R95" s="2078"/>
      <c r="S95" s="224"/>
    </row>
    <row r="96" spans="1:19" s="51" customFormat="1" x14ac:dyDescent="0.2">
      <c r="A96" s="224"/>
      <c r="B96" s="224"/>
      <c r="C96" s="2078"/>
      <c r="D96" s="2078"/>
      <c r="E96" s="2078"/>
      <c r="F96" s="224"/>
      <c r="G96" s="224"/>
      <c r="H96" s="224"/>
      <c r="I96" s="224"/>
      <c r="J96" s="224"/>
      <c r="K96" s="224"/>
      <c r="L96" s="2079"/>
      <c r="M96" s="2079"/>
      <c r="N96" s="2079"/>
      <c r="O96" s="224"/>
      <c r="P96" s="224"/>
      <c r="Q96" s="224"/>
      <c r="R96" s="2078"/>
      <c r="S96" s="224"/>
    </row>
    <row r="97" spans="1:19" s="51" customFormat="1" x14ac:dyDescent="0.2">
      <c r="A97" s="224"/>
      <c r="B97" s="224"/>
      <c r="C97" s="2078"/>
      <c r="D97" s="2078"/>
      <c r="E97" s="2078"/>
      <c r="F97" s="224"/>
      <c r="G97" s="224"/>
      <c r="H97" s="224"/>
      <c r="I97" s="224"/>
      <c r="J97" s="224"/>
      <c r="K97" s="224"/>
      <c r="L97" s="2079"/>
      <c r="M97" s="2079"/>
      <c r="N97" s="2079"/>
      <c r="O97" s="224"/>
      <c r="P97" s="224"/>
      <c r="Q97" s="224"/>
      <c r="R97" s="2078"/>
      <c r="S97" s="224"/>
    </row>
    <row r="98" spans="1:19" s="51" customFormat="1" x14ac:dyDescent="0.2">
      <c r="A98" s="224"/>
      <c r="B98" s="224"/>
      <c r="C98" s="2078"/>
      <c r="D98" s="2078"/>
      <c r="E98" s="2078"/>
      <c r="F98" s="224"/>
      <c r="G98" s="224"/>
      <c r="H98" s="224"/>
      <c r="I98" s="224"/>
      <c r="J98" s="224"/>
      <c r="K98" s="224"/>
      <c r="L98" s="2079"/>
      <c r="M98" s="2079"/>
      <c r="N98" s="2079"/>
      <c r="O98" s="224"/>
      <c r="P98" s="224"/>
      <c r="Q98" s="224"/>
      <c r="R98" s="2078"/>
      <c r="S98" s="224"/>
    </row>
    <row r="99" spans="1:19" s="51" customFormat="1" x14ac:dyDescent="0.2">
      <c r="A99" s="224"/>
      <c r="B99" s="224"/>
      <c r="C99" s="2078"/>
      <c r="D99" s="2078"/>
      <c r="E99" s="2078"/>
      <c r="F99" s="224"/>
      <c r="G99" s="224"/>
      <c r="H99" s="224"/>
      <c r="I99" s="224"/>
      <c r="J99" s="224"/>
      <c r="K99" s="224"/>
      <c r="L99" s="2079"/>
      <c r="M99" s="2079"/>
      <c r="N99" s="2079"/>
      <c r="O99" s="224"/>
      <c r="P99" s="224"/>
      <c r="Q99" s="224"/>
      <c r="R99" s="2078"/>
      <c r="S99" s="224"/>
    </row>
    <row r="100" spans="1:19" s="51" customFormat="1" x14ac:dyDescent="0.2">
      <c r="A100" s="224"/>
      <c r="B100" s="224"/>
      <c r="C100" s="2078"/>
      <c r="D100" s="2078"/>
      <c r="E100" s="2078"/>
      <c r="F100" s="224"/>
      <c r="G100" s="224"/>
      <c r="H100" s="224"/>
      <c r="I100" s="224"/>
      <c r="J100" s="224"/>
      <c r="K100" s="224"/>
      <c r="L100" s="2079"/>
      <c r="M100" s="2079"/>
      <c r="N100" s="2079"/>
      <c r="O100" s="224"/>
      <c r="P100" s="224"/>
      <c r="Q100" s="224"/>
      <c r="R100" s="2078"/>
      <c r="S100" s="224"/>
    </row>
    <row r="101" spans="1:19" s="51" customFormat="1" x14ac:dyDescent="0.2"/>
    <row r="102" spans="1:19" s="51" customFormat="1" x14ac:dyDescent="0.2"/>
    <row r="103" spans="1:19" s="51" customFormat="1" x14ac:dyDescent="0.2">
      <c r="B103" s="2080" t="s">
        <v>679</v>
      </c>
      <c r="C103" s="2081"/>
      <c r="D103" s="2082"/>
      <c r="E103" s="2082"/>
      <c r="F103" s="2083"/>
      <c r="G103" s="2084"/>
    </row>
    <row r="104" spans="1:19" s="51" customFormat="1" x14ac:dyDescent="0.2">
      <c r="B104" s="2085"/>
      <c r="C104" s="2086"/>
      <c r="D104" s="2087"/>
      <c r="E104" s="2087"/>
      <c r="F104" s="2088"/>
      <c r="G104" s="2084"/>
    </row>
    <row r="105" spans="1:19" s="51" customFormat="1" ht="15" thickBot="1" x14ac:dyDescent="0.25"/>
    <row r="106" spans="1:19" s="51" customFormat="1" ht="15" thickBot="1" x14ac:dyDescent="0.25">
      <c r="B106" s="2089" t="s">
        <v>680</v>
      </c>
      <c r="C106" s="2090"/>
      <c r="D106" s="2091"/>
      <c r="E106" s="2091"/>
      <c r="F106" s="2092"/>
      <c r="G106" s="2093"/>
      <c r="H106" s="2093"/>
      <c r="I106" s="2093"/>
      <c r="J106" s="2093"/>
      <c r="K106" s="2093"/>
      <c r="L106" s="2093"/>
      <c r="M106" s="2093"/>
      <c r="N106" s="2093"/>
      <c r="O106" s="2093"/>
      <c r="P106" s="2093"/>
      <c r="Q106" s="2093"/>
      <c r="R106" s="2093"/>
      <c r="S106" s="2093"/>
    </row>
    <row r="107" spans="1:19" s="51" customFormat="1" ht="15" thickBot="1" x14ac:dyDescent="0.25">
      <c r="B107" s="2094"/>
      <c r="C107" s="2090"/>
      <c r="D107" s="2091"/>
      <c r="E107" s="2091"/>
      <c r="F107" s="2092"/>
      <c r="G107" s="310"/>
      <c r="H107" s="310"/>
      <c r="I107" s="310"/>
      <c r="J107" s="310"/>
      <c r="K107" s="310"/>
      <c r="L107" s="310"/>
      <c r="M107" s="310"/>
      <c r="N107" s="310"/>
      <c r="O107" s="310"/>
      <c r="P107" s="310"/>
      <c r="Q107" s="310"/>
      <c r="R107" s="310"/>
      <c r="S107" s="310"/>
    </row>
    <row r="108" spans="1:19" s="51" customFormat="1" ht="15" thickBot="1" x14ac:dyDescent="0.25">
      <c r="B108" s="2095"/>
      <c r="C108" s="2090"/>
      <c r="D108" s="2091"/>
      <c r="E108" s="2091"/>
      <c r="F108" s="2092"/>
      <c r="G108" s="310"/>
      <c r="H108" s="310"/>
      <c r="I108" s="310"/>
      <c r="J108" s="310"/>
      <c r="K108" s="310"/>
      <c r="L108" s="310"/>
      <c r="M108" s="310"/>
      <c r="N108" s="310"/>
      <c r="O108" s="310"/>
      <c r="P108" s="310"/>
      <c r="Q108" s="310"/>
      <c r="R108" s="310"/>
      <c r="S108" s="310"/>
    </row>
    <row r="109" spans="1:19" s="51" customFormat="1" ht="15" thickBot="1" x14ac:dyDescent="0.25">
      <c r="B109" s="2096" t="s">
        <v>681</v>
      </c>
      <c r="C109" s="2090"/>
      <c r="D109" s="2091"/>
      <c r="E109" s="2091"/>
      <c r="F109" s="2092"/>
      <c r="G109" s="310"/>
      <c r="H109" s="310"/>
      <c r="I109" s="310"/>
      <c r="J109" s="310"/>
      <c r="K109" s="310"/>
      <c r="L109" s="310"/>
      <c r="M109" s="310"/>
      <c r="N109" s="310"/>
      <c r="O109" s="310"/>
      <c r="P109" s="310"/>
      <c r="Q109" s="310"/>
      <c r="R109" s="310"/>
      <c r="S109" s="310"/>
    </row>
    <row r="110" spans="1:19" s="51" customFormat="1" x14ac:dyDescent="0.2"/>
    <row r="111" spans="1:19" s="51" customFormat="1" ht="15" x14ac:dyDescent="0.25">
      <c r="B111" s="51" t="s">
        <v>682</v>
      </c>
    </row>
    <row r="112" spans="1:19" s="51" customFormat="1" ht="15" x14ac:dyDescent="0.25">
      <c r="B112" s="51" t="s">
        <v>683</v>
      </c>
    </row>
    <row r="113" spans="2:3" s="51" customFormat="1" ht="15" x14ac:dyDescent="0.25">
      <c r="B113" s="51" t="s">
        <v>684</v>
      </c>
    </row>
    <row r="114" spans="2:3" s="51" customFormat="1" x14ac:dyDescent="0.2"/>
    <row r="115" spans="2:3" s="51" customFormat="1" x14ac:dyDescent="0.2"/>
    <row r="116" spans="2:3" s="51" customFormat="1" hidden="1" x14ac:dyDescent="0.2"/>
    <row r="117" spans="2:3" hidden="1" x14ac:dyDescent="0.2"/>
    <row r="118" spans="2:3" hidden="1" x14ac:dyDescent="0.2"/>
    <row r="119" spans="2:3" hidden="1" x14ac:dyDescent="0.2"/>
    <row r="120" spans="2:3" hidden="1" x14ac:dyDescent="0.2"/>
    <row r="121" spans="2:3" hidden="1" x14ac:dyDescent="0.2"/>
    <row r="122" spans="2:3" s="311" customFormat="1" hidden="1" x14ac:dyDescent="0.2"/>
    <row r="123" spans="2:3" s="311" customFormat="1" hidden="1" x14ac:dyDescent="0.2">
      <c r="B123" s="312" t="s">
        <v>685</v>
      </c>
      <c r="C123" s="312" t="s">
        <v>686</v>
      </c>
    </row>
    <row r="124" spans="2:3" s="311" customFormat="1" hidden="1" x14ac:dyDescent="0.2">
      <c r="B124" s="313" t="s">
        <v>687</v>
      </c>
      <c r="C124" s="314"/>
    </row>
    <row r="125" spans="2:3" s="311" customFormat="1" hidden="1" x14ac:dyDescent="0.2">
      <c r="B125" s="313" t="s">
        <v>688</v>
      </c>
      <c r="C125" s="314"/>
    </row>
    <row r="126" spans="2:3" s="311" customFormat="1" hidden="1" x14ac:dyDescent="0.2">
      <c r="B126" s="313" t="s">
        <v>689</v>
      </c>
      <c r="C126" s="314"/>
    </row>
    <row r="127" spans="2:3" s="311" customFormat="1" hidden="1" x14ac:dyDescent="0.2">
      <c r="B127" s="313" t="s">
        <v>690</v>
      </c>
      <c r="C127" s="314"/>
    </row>
    <row r="128" spans="2:3" hidden="1" x14ac:dyDescent="0.2"/>
    <row r="129" hidden="1" x14ac:dyDescent="0.2"/>
    <row r="130" hidden="1" x14ac:dyDescent="0.2"/>
    <row r="131" hidden="1" x14ac:dyDescent="0.2"/>
    <row r="132" hidden="1" x14ac:dyDescent="0.2"/>
    <row r="133" hidden="1" x14ac:dyDescent="0.2"/>
    <row r="134" hidden="1" x14ac:dyDescent="0.2"/>
  </sheetData>
  <sheetProtection algorithmName="SHA-512" hashValue="APXLnkZDNTxR3Kwf8ylPdJe9TuWZoQ/wmuHWBFnsJIKRfoqTyfjepCtmpfx1tt4g61lXAc1PjxoXQkGhr05sww==" saltValue="GyD1n4VQqShrjCU6m6pRyA==" spinCount="100000" sheet="1" objects="1" scenarios="1"/>
  <mergeCells count="12">
    <mergeCell ref="C109:F109"/>
    <mergeCell ref="B1:B2"/>
    <mergeCell ref="C4:D4"/>
    <mergeCell ref="C5:H5"/>
    <mergeCell ref="C6:D6"/>
    <mergeCell ref="C7:D7"/>
    <mergeCell ref="C1:R2"/>
    <mergeCell ref="J10:Q10"/>
    <mergeCell ref="B103:B104"/>
    <mergeCell ref="C103:F104"/>
    <mergeCell ref="B106:B108"/>
    <mergeCell ref="C106:F108"/>
  </mergeCells>
  <conditionalFormatting sqref="G106:S109">
    <cfRule type="cellIs" dxfId="271" priority="8" operator="equal">
      <formula>"INEXISTENTE"</formula>
    </cfRule>
  </conditionalFormatting>
  <conditionalFormatting sqref="K106:S109">
    <cfRule type="cellIs" dxfId="270" priority="9" operator="equal">
      <formula>"INEFICAZ"</formula>
    </cfRule>
    <cfRule type="cellIs" dxfId="269" priority="10" operator="equal">
      <formula>"CON DEFICIENCIAS"</formula>
    </cfRule>
    <cfRule type="cellIs" dxfId="268" priority="11" operator="equal">
      <formula>"EFICAZ"</formula>
    </cfRule>
    <cfRule type="cellIs" dxfId="267" priority="12" operator="equal">
      <formula>"CRÍTICO"</formula>
    </cfRule>
    <cfRule type="cellIs" dxfId="266" priority="13" operator="equal">
      <formula>"ALTO"</formula>
    </cfRule>
    <cfRule type="cellIs" dxfId="265" priority="14" operator="equal">
      <formula>"MEDIO"</formula>
    </cfRule>
    <cfRule type="cellIs" dxfId="264" priority="15" operator="equal">
      <formula>"BAJO"</formula>
    </cfRule>
  </conditionalFormatting>
  <conditionalFormatting sqref="G106:S109">
    <cfRule type="cellIs" dxfId="263" priority="17" operator="equal">
      <formula>"INADECUADO"</formula>
    </cfRule>
    <cfRule type="cellIs" dxfId="262" priority="18" operator="equal">
      <formula>"PARCIALMENTE ADECUADO"</formula>
    </cfRule>
    <cfRule type="cellIs" dxfId="261" priority="19" operator="equal">
      <formula>"ADECUADO"</formula>
    </cfRule>
    <cfRule type="cellIs" dxfId="260" priority="20" operator="equal">
      <formula>"ERROR"</formula>
    </cfRule>
  </conditionalFormatting>
  <conditionalFormatting sqref="C1">
    <cfRule type="cellIs" dxfId="259" priority="1" operator="equal">
      <formula>"ERROR"</formula>
    </cfRule>
  </conditionalFormatting>
  <conditionalFormatting sqref="S2">
    <cfRule type="cellIs" dxfId="258" priority="3" operator="equal">
      <formula>"INADECUADO"</formula>
    </cfRule>
    <cfRule type="cellIs" dxfId="257" priority="4" operator="equal">
      <formula>"PARCIALMENTE ADECUADO"</formula>
    </cfRule>
    <cfRule type="cellIs" dxfId="256" priority="5" operator="equal">
      <formula>"ADECUADO"</formula>
    </cfRule>
    <cfRule type="cellIs" dxfId="255" priority="6" operator="equal">
      <formula>"ERROR"</formula>
    </cfRule>
  </conditionalFormatting>
  <conditionalFormatting sqref="S2">
    <cfRule type="cellIs" dxfId="254" priority="2" operator="equal">
      <formula>"INEXISTENTE"</formula>
    </cfRule>
  </conditionalFormatting>
  <pageMargins left="0.7" right="0.7" top="0.75" bottom="0.75" header="0.3" footer="0.3"/>
  <pageSetup orientation="portrait" r:id="rId1"/>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36"/>
  <sheetViews>
    <sheetView workbookViewId="0">
      <selection activeCell="D22" sqref="D22"/>
    </sheetView>
  </sheetViews>
  <sheetFormatPr baseColWidth="10" defaultColWidth="11.42578125" defaultRowHeight="14.25" x14ac:dyDescent="0.2"/>
  <cols>
    <col min="1" max="1" width="11.42578125" style="11"/>
    <col min="2" max="2" width="33.140625" style="11" customWidth="1"/>
    <col min="3" max="3" width="26" style="315" customWidth="1"/>
    <col min="4" max="4" width="23.140625" style="315" customWidth="1"/>
    <col min="5" max="5" width="21.7109375" style="11" customWidth="1"/>
    <col min="6" max="6" width="12.42578125" style="11" customWidth="1"/>
    <col min="7" max="7" width="17.28515625" style="11" customWidth="1"/>
    <col min="8" max="8" width="21.42578125" style="11" customWidth="1"/>
    <col min="9" max="9" width="24.7109375" style="11" bestFit="1" customWidth="1"/>
    <col min="10" max="10" width="24.7109375" style="11" customWidth="1"/>
    <col min="11" max="11" width="21.28515625" style="11" customWidth="1"/>
    <col min="12" max="14" width="27.42578125" style="11" customWidth="1"/>
    <col min="15" max="15" width="35.7109375" style="11" customWidth="1"/>
    <col min="16" max="18" width="16.28515625" style="11" customWidth="1"/>
    <col min="19" max="19" width="17" style="11" customWidth="1"/>
    <col min="20" max="20" width="16.140625" style="11" customWidth="1"/>
    <col min="21" max="16384" width="11.42578125" style="11"/>
  </cols>
  <sheetData>
    <row r="1" spans="1:19" ht="51.75" customHeight="1" x14ac:dyDescent="0.2">
      <c r="B1" s="1443"/>
      <c r="C1" s="1448" t="s">
        <v>1797</v>
      </c>
      <c r="D1" s="1449"/>
      <c r="E1" s="1449"/>
      <c r="F1" s="1449"/>
      <c r="G1" s="1449"/>
      <c r="H1" s="1449"/>
      <c r="I1" s="1449"/>
      <c r="J1" s="1449"/>
      <c r="K1" s="1449"/>
      <c r="L1" s="1449"/>
      <c r="M1" s="1449"/>
      <c r="N1" s="1449"/>
      <c r="O1" s="1449"/>
      <c r="P1" s="1449"/>
      <c r="Q1" s="1449"/>
      <c r="R1" s="1450"/>
      <c r="S1" s="1148" t="s">
        <v>1796</v>
      </c>
    </row>
    <row r="2" spans="1:19" ht="40.5" customHeight="1" x14ac:dyDescent="0.2">
      <c r="B2" s="1444"/>
      <c r="C2" s="1451"/>
      <c r="D2" s="1452"/>
      <c r="E2" s="1452"/>
      <c r="F2" s="1452"/>
      <c r="G2" s="1452"/>
      <c r="H2" s="1452"/>
      <c r="I2" s="1452"/>
      <c r="J2" s="1452"/>
      <c r="K2" s="1452"/>
      <c r="L2" s="1452"/>
      <c r="M2" s="1452"/>
      <c r="N2" s="1452"/>
      <c r="O2" s="1452"/>
      <c r="P2" s="1452"/>
      <c r="Q2" s="1452"/>
      <c r="R2" s="1453"/>
      <c r="S2" s="1146" t="s">
        <v>1791</v>
      </c>
    </row>
    <row r="4" spans="1:19" ht="18" x14ac:dyDescent="0.25">
      <c r="B4" s="303"/>
      <c r="C4" s="1456"/>
      <c r="D4" s="1456"/>
      <c r="E4" s="304"/>
      <c r="F4" s="9"/>
      <c r="G4" s="9"/>
      <c r="H4" s="51"/>
    </row>
    <row r="5" spans="1:19" ht="18" x14ac:dyDescent="0.2">
      <c r="C5" s="1446" t="s">
        <v>691</v>
      </c>
      <c r="D5" s="1446"/>
      <c r="E5" s="1446"/>
      <c r="F5" s="1446"/>
      <c r="G5" s="1446"/>
      <c r="H5" s="1446"/>
    </row>
    <row r="6" spans="1:19" x14ac:dyDescent="0.2">
      <c r="B6" s="11" t="s">
        <v>0</v>
      </c>
      <c r="C6" s="1457" t="str">
        <f>+'ANALÍTICA ESTADO SITUACIÓN F'!C6:D6</f>
        <v xml:space="preserve">130000 - DIRECCIÓN SECTOR HÁBITAT Y AMBIENTE </v>
      </c>
      <c r="D6" s="1457"/>
    </row>
    <row r="7" spans="1:19" x14ac:dyDescent="0.2">
      <c r="B7" s="11" t="s">
        <v>1</v>
      </c>
      <c r="C7" s="2067" t="str">
        <f>+'ANALÍTICA ESTADO SITUACIÓN F'!C7:D7</f>
        <v>208 - Caja de Vivienda Popular – CVP</v>
      </c>
      <c r="D7" s="2067"/>
      <c r="F7" s="305" t="s">
        <v>2</v>
      </c>
      <c r="G7" s="306"/>
      <c r="H7" s="2063">
        <f>+'ANALÍTICA ESTADO SITUACIÓN F'!H7</f>
        <v>2023</v>
      </c>
      <c r="P7" s="307"/>
      <c r="Q7" s="307"/>
      <c r="R7" s="307"/>
      <c r="S7" s="307"/>
    </row>
    <row r="8" spans="1:19" x14ac:dyDescent="0.2">
      <c r="B8" s="11" t="s">
        <v>1781</v>
      </c>
      <c r="C8" s="2068">
        <f>+'ANALÍTICA ESTADO SITUACIÓN F'!C8</f>
        <v>2025</v>
      </c>
      <c r="D8" s="2069"/>
      <c r="F8" s="305" t="s">
        <v>3</v>
      </c>
      <c r="G8" s="306"/>
      <c r="H8" s="2063">
        <f>+'ANALÍTICA ESTADO SITUACIÓN F'!H8</f>
        <v>55</v>
      </c>
    </row>
    <row r="9" spans="1:19" x14ac:dyDescent="0.2">
      <c r="B9" s="11" t="s">
        <v>4</v>
      </c>
      <c r="C9" s="2065">
        <f>+'ANALÍTICA ESTADO SITUACIÓN F'!C9</f>
        <v>45580</v>
      </c>
      <c r="D9" s="2070"/>
      <c r="F9" s="305" t="s">
        <v>5</v>
      </c>
      <c r="G9" s="306"/>
      <c r="H9" s="2066">
        <f>+'ANALÍTICA ESTADO SITUACIÓN F'!H9</f>
        <v>45580</v>
      </c>
    </row>
    <row r="10" spans="1:19" ht="15.75" x14ac:dyDescent="0.25">
      <c r="B10" s="49"/>
      <c r="E10" s="49"/>
      <c r="F10" s="49"/>
      <c r="G10" s="49"/>
      <c r="I10" s="11" t="s">
        <v>651</v>
      </c>
      <c r="J10" s="1458" t="s">
        <v>652</v>
      </c>
      <c r="K10" s="1459"/>
      <c r="L10" s="1459"/>
      <c r="M10" s="1459"/>
      <c r="N10" s="1459"/>
      <c r="O10" s="1459"/>
      <c r="P10" s="1459"/>
      <c r="Q10" s="1459"/>
      <c r="R10" s="1459"/>
    </row>
    <row r="11" spans="1:19" s="51" customFormat="1" ht="120" x14ac:dyDescent="0.2">
      <c r="A11" s="2077" t="s">
        <v>653</v>
      </c>
      <c r="B11" s="2077" t="s">
        <v>654</v>
      </c>
      <c r="C11" s="2097" t="s">
        <v>655</v>
      </c>
      <c r="D11" s="2097" t="s">
        <v>656</v>
      </c>
      <c r="E11" s="2077" t="s">
        <v>657</v>
      </c>
      <c r="F11" s="2077" t="s">
        <v>658</v>
      </c>
      <c r="G11" s="2077" t="s">
        <v>692</v>
      </c>
      <c r="H11" s="2077" t="s">
        <v>660</v>
      </c>
      <c r="I11" s="2077" t="s">
        <v>661</v>
      </c>
      <c r="J11" s="2077" t="s">
        <v>662</v>
      </c>
      <c r="K11" s="2077" t="s">
        <v>663</v>
      </c>
      <c r="L11" s="2077" t="s">
        <v>664</v>
      </c>
      <c r="M11" s="2077" t="s">
        <v>665</v>
      </c>
      <c r="N11" s="2077" t="s">
        <v>668</v>
      </c>
      <c r="O11" s="2077" t="s">
        <v>667</v>
      </c>
      <c r="P11" s="2077" t="s">
        <v>693</v>
      </c>
      <c r="Q11" s="2077" t="s">
        <v>666</v>
      </c>
      <c r="R11" s="2077" t="s">
        <v>669</v>
      </c>
      <c r="S11" s="2077" t="s">
        <v>670</v>
      </c>
    </row>
    <row r="12" spans="1:19" s="2113" customFormat="1" ht="12" customHeight="1" x14ac:dyDescent="0.2">
      <c r="A12" s="2098">
        <v>444</v>
      </c>
      <c r="B12" s="2099" t="s">
        <v>694</v>
      </c>
      <c r="C12" s="2100">
        <v>6500000000</v>
      </c>
      <c r="D12" s="2100">
        <v>8000000000</v>
      </c>
      <c r="E12" s="2101"/>
      <c r="F12" s="2102"/>
      <c r="G12" s="2103"/>
      <c r="H12" s="2104"/>
      <c r="I12" s="2105"/>
      <c r="J12" s="2106"/>
      <c r="K12" s="2102"/>
      <c r="L12" s="2107"/>
      <c r="M12" s="2108"/>
      <c r="N12" s="2109"/>
      <c r="O12" s="2110"/>
      <c r="P12" s="2111"/>
      <c r="Q12" s="2109"/>
      <c r="R12" s="2109"/>
      <c r="S12" s="2112"/>
    </row>
    <row r="13" spans="1:19" s="2113" customFormat="1" ht="12" customHeight="1" x14ac:dyDescent="0.2">
      <c r="A13" s="2098">
        <v>444</v>
      </c>
      <c r="B13" s="2099" t="s">
        <v>695</v>
      </c>
      <c r="C13" s="2100"/>
      <c r="D13" s="2100"/>
      <c r="E13" s="2101"/>
      <c r="F13" s="2102"/>
      <c r="G13" s="2103"/>
      <c r="H13" s="2104"/>
      <c r="I13" s="2105"/>
      <c r="J13" s="2106"/>
      <c r="K13" s="2102"/>
      <c r="L13" s="2114"/>
      <c r="M13" s="2108"/>
      <c r="N13" s="2109"/>
      <c r="O13" s="2110"/>
      <c r="P13" s="2111"/>
      <c r="Q13" s="2109"/>
      <c r="R13" s="2109"/>
      <c r="S13" s="2115"/>
    </row>
    <row r="14" spans="1:19" s="2113" customFormat="1" ht="12" customHeight="1" x14ac:dyDescent="0.2">
      <c r="A14" s="2098">
        <v>4</v>
      </c>
      <c r="B14" s="2099" t="s">
        <v>696</v>
      </c>
      <c r="C14" s="2100"/>
      <c r="D14" s="2100"/>
      <c r="E14" s="2101"/>
      <c r="F14" s="2102"/>
      <c r="G14" s="2103"/>
      <c r="H14" s="2104"/>
      <c r="I14" s="2105"/>
      <c r="J14" s="2106"/>
      <c r="K14" s="2102"/>
      <c r="L14" s="2114"/>
      <c r="M14" s="2108"/>
      <c r="N14" s="2109"/>
      <c r="O14" s="2110"/>
      <c r="P14" s="2111"/>
      <c r="Q14" s="2109"/>
      <c r="R14" s="2109"/>
      <c r="S14" s="2115"/>
    </row>
    <row r="15" spans="1:19" s="2113" customFormat="1" ht="12" customHeight="1" x14ac:dyDescent="0.2">
      <c r="A15" s="2098"/>
      <c r="B15" s="2099"/>
      <c r="C15" s="2100"/>
      <c r="D15" s="2100"/>
      <c r="E15" s="2101"/>
      <c r="F15" s="2102"/>
      <c r="G15" s="2103"/>
      <c r="H15" s="2104"/>
      <c r="I15" s="2105"/>
      <c r="J15" s="2106"/>
      <c r="K15" s="2102"/>
      <c r="L15" s="2114"/>
      <c r="M15" s="2108"/>
      <c r="N15" s="2109"/>
      <c r="O15" s="2110"/>
      <c r="P15" s="2111"/>
      <c r="Q15" s="2109"/>
      <c r="R15" s="2109"/>
      <c r="S15" s="2115"/>
    </row>
    <row r="16" spans="1:19" s="2113" customFormat="1" ht="12" customHeight="1" x14ac:dyDescent="0.2">
      <c r="A16" s="2098"/>
      <c r="B16" s="2099"/>
      <c r="C16" s="2100"/>
      <c r="D16" s="2100"/>
      <c r="E16" s="2101"/>
      <c r="F16" s="2102"/>
      <c r="G16" s="2103"/>
      <c r="H16" s="2104"/>
      <c r="I16" s="2105"/>
      <c r="J16" s="2106"/>
      <c r="K16" s="2102"/>
      <c r="L16" s="2114"/>
      <c r="M16" s="2108"/>
      <c r="N16" s="2109"/>
      <c r="O16" s="2110"/>
      <c r="P16" s="2111"/>
      <c r="Q16" s="2109"/>
      <c r="R16" s="2109"/>
      <c r="S16" s="2115"/>
    </row>
    <row r="17" spans="1:19" s="2113" customFormat="1" ht="12" customHeight="1" x14ac:dyDescent="0.2">
      <c r="A17" s="2098"/>
      <c r="B17" s="2099"/>
      <c r="C17" s="2100"/>
      <c r="D17" s="2100"/>
      <c r="E17" s="2101"/>
      <c r="F17" s="2102"/>
      <c r="G17" s="2103"/>
      <c r="H17" s="2104"/>
      <c r="I17" s="2105"/>
      <c r="J17" s="2106"/>
      <c r="K17" s="2102"/>
      <c r="L17" s="2114"/>
      <c r="M17" s="2108"/>
      <c r="N17" s="2109"/>
      <c r="O17" s="2110"/>
      <c r="P17" s="2111"/>
      <c r="Q17" s="2109"/>
      <c r="R17" s="2109"/>
      <c r="S17" s="2115"/>
    </row>
    <row r="18" spans="1:19" s="2113" customFormat="1" ht="12" customHeight="1" x14ac:dyDescent="0.2">
      <c r="A18" s="2098"/>
      <c r="B18" s="2099"/>
      <c r="C18" s="2100"/>
      <c r="D18" s="2100"/>
      <c r="E18" s="2101"/>
      <c r="F18" s="2102"/>
      <c r="G18" s="2103"/>
      <c r="H18" s="2104"/>
      <c r="I18" s="2105"/>
      <c r="J18" s="2106"/>
      <c r="K18" s="2102"/>
      <c r="L18" s="2114"/>
      <c r="M18" s="2108"/>
      <c r="N18" s="2109"/>
      <c r="O18" s="2110"/>
      <c r="P18" s="2111"/>
      <c r="Q18" s="2109"/>
      <c r="R18" s="2109"/>
      <c r="S18" s="2115"/>
    </row>
    <row r="19" spans="1:19" s="2113" customFormat="1" ht="12" customHeight="1" x14ac:dyDescent="0.2">
      <c r="A19" s="2098"/>
      <c r="B19" s="2099"/>
      <c r="C19" s="2100"/>
      <c r="D19" s="2100"/>
      <c r="E19" s="2101"/>
      <c r="F19" s="2102"/>
      <c r="G19" s="2103"/>
      <c r="H19" s="2104"/>
      <c r="I19" s="2105"/>
      <c r="J19" s="2106"/>
      <c r="K19" s="2102"/>
      <c r="L19" s="2114"/>
      <c r="M19" s="2108"/>
      <c r="N19" s="2109"/>
      <c r="O19" s="2110"/>
      <c r="P19" s="2111"/>
      <c r="Q19" s="2109"/>
      <c r="R19" s="2109"/>
      <c r="S19" s="2115"/>
    </row>
    <row r="20" spans="1:19" s="2113" customFormat="1" ht="12" customHeight="1" x14ac:dyDescent="0.2">
      <c r="A20" s="2098"/>
      <c r="B20" s="2099"/>
      <c r="C20" s="2100"/>
      <c r="D20" s="2100"/>
      <c r="E20" s="2101"/>
      <c r="F20" s="2102"/>
      <c r="G20" s="2103"/>
      <c r="H20" s="2104"/>
      <c r="I20" s="2105"/>
      <c r="J20" s="2106"/>
      <c r="K20" s="2102"/>
      <c r="L20" s="2114"/>
      <c r="M20" s="2108"/>
      <c r="N20" s="2109"/>
      <c r="O20" s="2110"/>
      <c r="P20" s="2111"/>
      <c r="Q20" s="2109"/>
      <c r="R20" s="2109"/>
      <c r="S20" s="2115"/>
    </row>
    <row r="21" spans="1:19" s="2113" customFormat="1" ht="12" customHeight="1" x14ac:dyDescent="0.2">
      <c r="A21" s="2098"/>
      <c r="B21" s="2099"/>
      <c r="C21" s="2100"/>
      <c r="D21" s="2100"/>
      <c r="E21" s="2101"/>
      <c r="F21" s="2102"/>
      <c r="G21" s="2103"/>
      <c r="H21" s="2104"/>
      <c r="I21" s="2105"/>
      <c r="J21" s="2106"/>
      <c r="K21" s="2102"/>
      <c r="L21" s="2114"/>
      <c r="M21" s="2108"/>
      <c r="N21" s="2109"/>
      <c r="O21" s="2110"/>
      <c r="P21" s="2111"/>
      <c r="Q21" s="2109"/>
      <c r="R21" s="2109"/>
      <c r="S21" s="2115"/>
    </row>
    <row r="22" spans="1:19" s="2113" customFormat="1" ht="12" customHeight="1" x14ac:dyDescent="0.2">
      <c r="A22" s="2098"/>
      <c r="B22" s="2099"/>
      <c r="C22" s="2100"/>
      <c r="D22" s="2100"/>
      <c r="E22" s="2101"/>
      <c r="F22" s="2102"/>
      <c r="G22" s="2103"/>
      <c r="H22" s="2104"/>
      <c r="I22" s="2105"/>
      <c r="J22" s="2106"/>
      <c r="K22" s="2102"/>
      <c r="L22" s="2114"/>
      <c r="M22" s="2108"/>
      <c r="N22" s="2109"/>
      <c r="O22" s="2110"/>
      <c r="P22" s="2111"/>
      <c r="Q22" s="2109"/>
      <c r="R22" s="2109"/>
      <c r="S22" s="2115"/>
    </row>
    <row r="23" spans="1:19" s="2113" customFormat="1" ht="12" customHeight="1" x14ac:dyDescent="0.2">
      <c r="A23" s="2098"/>
      <c r="B23" s="2099"/>
      <c r="C23" s="2100"/>
      <c r="D23" s="2100"/>
      <c r="E23" s="2101"/>
      <c r="F23" s="2102"/>
      <c r="G23" s="2103"/>
      <c r="H23" s="2104"/>
      <c r="I23" s="2105"/>
      <c r="J23" s="2106"/>
      <c r="K23" s="2102"/>
      <c r="L23" s="2114"/>
      <c r="M23" s="2108"/>
      <c r="N23" s="2109"/>
      <c r="O23" s="2110"/>
      <c r="P23" s="2111"/>
      <c r="Q23" s="2109"/>
      <c r="R23" s="2109"/>
      <c r="S23" s="2115"/>
    </row>
    <row r="24" spans="1:19" s="2113" customFormat="1" ht="12" customHeight="1" x14ac:dyDescent="0.2">
      <c r="A24" s="2098"/>
      <c r="B24" s="2099"/>
      <c r="C24" s="2100"/>
      <c r="D24" s="2100"/>
      <c r="E24" s="2101"/>
      <c r="F24" s="2102"/>
      <c r="G24" s="2103"/>
      <c r="H24" s="2104"/>
      <c r="I24" s="2105"/>
      <c r="J24" s="2106"/>
      <c r="K24" s="2102"/>
      <c r="L24" s="2114"/>
      <c r="M24" s="2108"/>
      <c r="N24" s="2109"/>
      <c r="O24" s="2110"/>
      <c r="P24" s="2111"/>
      <c r="Q24" s="2109"/>
      <c r="R24" s="2109"/>
      <c r="S24" s="2115"/>
    </row>
    <row r="25" spans="1:19" s="2113" customFormat="1" ht="12" customHeight="1" x14ac:dyDescent="0.2">
      <c r="A25" s="2098"/>
      <c r="B25" s="2099"/>
      <c r="C25" s="2100"/>
      <c r="D25" s="2100"/>
      <c r="E25" s="2101"/>
      <c r="F25" s="2102"/>
      <c r="G25" s="2103"/>
      <c r="H25" s="2104"/>
      <c r="I25" s="2105"/>
      <c r="J25" s="2106"/>
      <c r="K25" s="2102"/>
      <c r="L25" s="2114"/>
      <c r="M25" s="2108"/>
      <c r="N25" s="2109"/>
      <c r="O25" s="2110"/>
      <c r="P25" s="2111"/>
      <c r="Q25" s="2109"/>
      <c r="R25" s="2109"/>
      <c r="S25" s="2115"/>
    </row>
    <row r="26" spans="1:19" s="2113" customFormat="1" ht="12" customHeight="1" x14ac:dyDescent="0.2">
      <c r="A26" s="2098"/>
      <c r="B26" s="2099"/>
      <c r="C26" s="2100"/>
      <c r="D26" s="2100"/>
      <c r="E26" s="2101"/>
      <c r="F26" s="2102"/>
      <c r="G26" s="2103"/>
      <c r="H26" s="2104"/>
      <c r="I26" s="2105"/>
      <c r="J26" s="2106"/>
      <c r="K26" s="2102"/>
      <c r="L26" s="2114"/>
      <c r="M26" s="2108"/>
      <c r="N26" s="2109"/>
      <c r="O26" s="2110"/>
      <c r="P26" s="2111"/>
      <c r="Q26" s="2109"/>
      <c r="R26" s="2109"/>
      <c r="S26" s="2115"/>
    </row>
    <row r="27" spans="1:19" s="2113" customFormat="1" ht="12" customHeight="1" x14ac:dyDescent="0.2">
      <c r="A27" s="2098"/>
      <c r="B27" s="2099"/>
      <c r="C27" s="2100"/>
      <c r="D27" s="2100"/>
      <c r="E27" s="2101"/>
      <c r="F27" s="2102"/>
      <c r="G27" s="2103"/>
      <c r="H27" s="2104"/>
      <c r="I27" s="2105"/>
      <c r="J27" s="2106"/>
      <c r="K27" s="2102"/>
      <c r="L27" s="2114"/>
      <c r="M27" s="2108"/>
      <c r="N27" s="2109"/>
      <c r="O27" s="2110"/>
      <c r="P27" s="2111"/>
      <c r="Q27" s="2109"/>
      <c r="R27" s="2109"/>
      <c r="S27" s="2115"/>
    </row>
    <row r="28" spans="1:19" s="2113" customFormat="1" ht="12" customHeight="1" x14ac:dyDescent="0.2">
      <c r="A28" s="2098"/>
      <c r="B28" s="2099"/>
      <c r="C28" s="2100"/>
      <c r="D28" s="2100"/>
      <c r="E28" s="2101"/>
      <c r="F28" s="2102"/>
      <c r="G28" s="2103"/>
      <c r="H28" s="2104"/>
      <c r="I28" s="2105"/>
      <c r="J28" s="2106"/>
      <c r="K28" s="2102"/>
      <c r="L28" s="2114"/>
      <c r="M28" s="2108"/>
      <c r="N28" s="2109"/>
      <c r="O28" s="2110"/>
      <c r="P28" s="2111"/>
      <c r="Q28" s="2109"/>
      <c r="R28" s="2109"/>
      <c r="S28" s="2115"/>
    </row>
    <row r="29" spans="1:19" s="2113" customFormat="1" ht="12" customHeight="1" x14ac:dyDescent="0.2">
      <c r="A29" s="2098"/>
      <c r="B29" s="2099"/>
      <c r="C29" s="2100"/>
      <c r="D29" s="2100"/>
      <c r="E29" s="2101"/>
      <c r="F29" s="2102"/>
      <c r="G29" s="2103"/>
      <c r="H29" s="2104"/>
      <c r="I29" s="2105"/>
      <c r="J29" s="2106"/>
      <c r="K29" s="2102"/>
      <c r="L29" s="2114"/>
      <c r="M29" s="2108"/>
      <c r="N29" s="2109"/>
      <c r="O29" s="2110"/>
      <c r="P29" s="2111"/>
      <c r="Q29" s="2109"/>
      <c r="R29" s="2109"/>
      <c r="S29" s="2115"/>
    </row>
    <row r="30" spans="1:19" s="2113" customFormat="1" ht="12" customHeight="1" x14ac:dyDescent="0.2">
      <c r="A30" s="2098"/>
      <c r="B30" s="2099"/>
      <c r="C30" s="2100"/>
      <c r="D30" s="2100"/>
      <c r="E30" s="2101"/>
      <c r="F30" s="2102"/>
      <c r="G30" s="2103"/>
      <c r="H30" s="2104"/>
      <c r="I30" s="2105"/>
      <c r="J30" s="2106"/>
      <c r="K30" s="2102"/>
      <c r="L30" s="2114"/>
      <c r="M30" s="2108"/>
      <c r="N30" s="2109"/>
      <c r="O30" s="2110"/>
      <c r="P30" s="2111"/>
      <c r="Q30" s="2109"/>
      <c r="R30" s="2109"/>
      <c r="S30" s="2115"/>
    </row>
    <row r="31" spans="1:19" s="2113" customFormat="1" ht="12" customHeight="1" x14ac:dyDescent="0.2">
      <c r="A31" s="2098"/>
      <c r="B31" s="2099"/>
      <c r="C31" s="2100"/>
      <c r="D31" s="2100"/>
      <c r="E31" s="2101"/>
      <c r="F31" s="2102"/>
      <c r="G31" s="2103"/>
      <c r="H31" s="2104"/>
      <c r="I31" s="2105"/>
      <c r="J31" s="2106"/>
      <c r="K31" s="2102"/>
      <c r="L31" s="2114"/>
      <c r="M31" s="2108"/>
      <c r="N31" s="2109"/>
      <c r="O31" s="2110"/>
      <c r="P31" s="2111"/>
      <c r="Q31" s="2109"/>
      <c r="R31" s="2109"/>
      <c r="S31" s="2115"/>
    </row>
    <row r="32" spans="1:19" s="2113" customFormat="1" ht="12" customHeight="1" x14ac:dyDescent="0.2">
      <c r="A32" s="2098"/>
      <c r="B32" s="2099"/>
      <c r="C32" s="2100"/>
      <c r="D32" s="2100"/>
      <c r="E32" s="2101"/>
      <c r="F32" s="2102"/>
      <c r="G32" s="2103"/>
      <c r="H32" s="2104"/>
      <c r="I32" s="2105"/>
      <c r="J32" s="2106"/>
      <c r="K32" s="2102"/>
      <c r="L32" s="2114"/>
      <c r="M32" s="2108"/>
      <c r="N32" s="2109"/>
      <c r="O32" s="2110"/>
      <c r="P32" s="2111"/>
      <c r="Q32" s="2109"/>
      <c r="R32" s="2109"/>
      <c r="S32" s="2115"/>
    </row>
    <row r="33" spans="1:19" s="2113" customFormat="1" ht="12" customHeight="1" x14ac:dyDescent="0.2">
      <c r="A33" s="2098"/>
      <c r="B33" s="2099"/>
      <c r="C33" s="2100"/>
      <c r="D33" s="2100"/>
      <c r="E33" s="2101"/>
      <c r="F33" s="2102"/>
      <c r="G33" s="2103"/>
      <c r="H33" s="2104"/>
      <c r="I33" s="2105"/>
      <c r="J33" s="2106"/>
      <c r="K33" s="2102"/>
      <c r="L33" s="2114"/>
      <c r="M33" s="2108"/>
      <c r="N33" s="2109"/>
      <c r="O33" s="2110"/>
      <c r="P33" s="2111"/>
      <c r="Q33" s="2109"/>
      <c r="R33" s="2109"/>
      <c r="S33" s="2115"/>
    </row>
    <row r="34" spans="1:19" s="2113" customFormat="1" ht="12" customHeight="1" x14ac:dyDescent="0.2">
      <c r="A34" s="2098"/>
      <c r="B34" s="2099"/>
      <c r="C34" s="2100"/>
      <c r="D34" s="2100"/>
      <c r="E34" s="2101"/>
      <c r="F34" s="2102"/>
      <c r="G34" s="2103"/>
      <c r="H34" s="2104"/>
      <c r="I34" s="2105"/>
      <c r="J34" s="2106"/>
      <c r="K34" s="2102"/>
      <c r="L34" s="2114"/>
      <c r="M34" s="2108"/>
      <c r="N34" s="2109"/>
      <c r="O34" s="2110"/>
      <c r="P34" s="2111"/>
      <c r="Q34" s="2109"/>
      <c r="R34" s="2109"/>
      <c r="S34" s="2115"/>
    </row>
    <row r="35" spans="1:19" s="2113" customFormat="1" ht="12" customHeight="1" x14ac:dyDescent="0.2">
      <c r="A35" s="2098"/>
      <c r="B35" s="2099"/>
      <c r="C35" s="2100"/>
      <c r="D35" s="2100"/>
      <c r="E35" s="2101"/>
      <c r="F35" s="2102"/>
      <c r="G35" s="2103"/>
      <c r="H35" s="2104"/>
      <c r="I35" s="2116"/>
      <c r="J35" s="2102"/>
      <c r="K35" s="2107"/>
      <c r="L35" s="2108"/>
      <c r="M35" s="2108"/>
      <c r="N35" s="2110"/>
      <c r="O35" s="2116"/>
      <c r="P35" s="2116"/>
      <c r="Q35" s="2110"/>
      <c r="R35" s="2110"/>
      <c r="S35" s="2109"/>
    </row>
    <row r="36" spans="1:19" s="2113" customFormat="1" ht="12" customHeight="1" x14ac:dyDescent="0.2">
      <c r="A36" s="2098"/>
      <c r="B36" s="2099"/>
      <c r="C36" s="2100"/>
      <c r="D36" s="2100"/>
      <c r="E36" s="2101"/>
      <c r="F36" s="2102"/>
      <c r="G36" s="2103"/>
      <c r="H36" s="2104"/>
      <c r="I36" s="2116"/>
      <c r="J36" s="2102"/>
      <c r="K36" s="2107"/>
      <c r="L36" s="2116"/>
      <c r="M36" s="2116"/>
      <c r="N36" s="2111"/>
      <c r="O36" s="2116"/>
      <c r="P36" s="2116"/>
      <c r="Q36" s="2111"/>
      <c r="R36" s="2111"/>
      <c r="S36" s="2111"/>
    </row>
    <row r="37" spans="1:19" s="2113" customFormat="1" ht="12" customHeight="1" x14ac:dyDescent="0.2">
      <c r="A37" s="2098">
        <v>5</v>
      </c>
      <c r="B37" s="2099" t="s">
        <v>697</v>
      </c>
      <c r="C37" s="2100">
        <v>3000000000</v>
      </c>
      <c r="D37" s="2100">
        <v>6000000000</v>
      </c>
      <c r="E37" s="2101"/>
      <c r="F37" s="2102"/>
      <c r="G37" s="2103"/>
      <c r="H37" s="2104"/>
      <c r="I37" s="2116"/>
      <c r="J37" s="2102"/>
      <c r="K37" s="2107"/>
      <c r="L37" s="2116"/>
      <c r="M37" s="2116"/>
      <c r="N37" s="2117"/>
      <c r="O37" s="2116"/>
      <c r="P37" s="2116"/>
      <c r="Q37" s="2117"/>
      <c r="R37" s="2117"/>
      <c r="S37" s="2111"/>
    </row>
    <row r="38" spans="1:19" s="2113" customFormat="1" ht="12" customHeight="1" x14ac:dyDescent="0.2">
      <c r="A38" s="2098">
        <v>56</v>
      </c>
      <c r="B38" s="2099" t="s">
        <v>698</v>
      </c>
      <c r="C38" s="2100">
        <v>1000000000</v>
      </c>
      <c r="D38" s="2100">
        <v>4000000000</v>
      </c>
      <c r="E38" s="2101"/>
      <c r="F38" s="2102"/>
      <c r="G38" s="2103"/>
      <c r="H38" s="2104"/>
      <c r="I38" s="2116"/>
      <c r="J38" s="2102"/>
      <c r="K38" s="2107"/>
      <c r="L38" s="2116"/>
      <c r="M38" s="2116"/>
      <c r="N38" s="2111"/>
      <c r="O38" s="2117"/>
      <c r="P38" s="2111"/>
      <c r="Q38" s="2111"/>
      <c r="R38" s="2111"/>
      <c r="S38" s="2112"/>
    </row>
    <row r="39" spans="1:19" s="2113" customFormat="1" ht="12" customHeight="1" x14ac:dyDescent="0.2">
      <c r="A39" s="2098">
        <v>56</v>
      </c>
      <c r="B39" s="2099" t="s">
        <v>699</v>
      </c>
      <c r="C39" s="2100">
        <v>1000000000</v>
      </c>
      <c r="D39" s="2100">
        <v>500000000</v>
      </c>
      <c r="E39" s="2101"/>
      <c r="F39" s="2102"/>
      <c r="G39" s="2103"/>
      <c r="H39" s="2104"/>
      <c r="I39" s="2116"/>
      <c r="J39" s="2102"/>
      <c r="K39" s="2107"/>
      <c r="L39" s="2116"/>
      <c r="M39" s="2116"/>
      <c r="N39" s="2111"/>
      <c r="O39" s="2116"/>
      <c r="P39" s="2116"/>
      <c r="Q39" s="2111"/>
      <c r="R39" s="2111"/>
      <c r="S39" s="2111"/>
    </row>
    <row r="40" spans="1:19" s="2113" customFormat="1" ht="12" customHeight="1" x14ac:dyDescent="0.2">
      <c r="A40" s="2098">
        <v>5</v>
      </c>
      <c r="B40" s="2099" t="s">
        <v>700</v>
      </c>
      <c r="C40" s="2100"/>
      <c r="D40" s="2100"/>
      <c r="E40" s="2101"/>
      <c r="F40" s="2102"/>
      <c r="G40" s="2103"/>
      <c r="H40" s="2104"/>
      <c r="I40" s="2116"/>
      <c r="J40" s="2102"/>
      <c r="K40" s="2107"/>
      <c r="L40" s="2116"/>
      <c r="M40" s="2116"/>
      <c r="N40" s="2111"/>
      <c r="O40" s="2116"/>
      <c r="P40" s="2116"/>
      <c r="Q40" s="2111"/>
      <c r="R40" s="2111"/>
      <c r="S40" s="2111"/>
    </row>
    <row r="41" spans="1:19" s="2113" customFormat="1" ht="12" customHeight="1" x14ac:dyDescent="0.2">
      <c r="A41" s="2098"/>
      <c r="B41" s="2099"/>
      <c r="C41" s="2100"/>
      <c r="D41" s="2100"/>
      <c r="E41" s="2101"/>
      <c r="F41" s="2102"/>
      <c r="G41" s="2103"/>
      <c r="H41" s="2104"/>
      <c r="I41" s="2116"/>
      <c r="J41" s="2102"/>
      <c r="K41" s="2107"/>
      <c r="L41" s="2116"/>
      <c r="M41" s="2116"/>
      <c r="N41" s="2111"/>
      <c r="O41" s="2116"/>
      <c r="P41" s="2116"/>
      <c r="Q41" s="2111"/>
      <c r="R41" s="2111"/>
      <c r="S41" s="2111"/>
    </row>
    <row r="42" spans="1:19" s="2113" customFormat="1" ht="12" customHeight="1" x14ac:dyDescent="0.2">
      <c r="A42" s="2098"/>
      <c r="B42" s="2099"/>
      <c r="C42" s="2100"/>
      <c r="D42" s="2100"/>
      <c r="E42" s="2101"/>
      <c r="F42" s="2102"/>
      <c r="G42" s="2103"/>
      <c r="H42" s="2104"/>
      <c r="I42" s="2116"/>
      <c r="J42" s="2102"/>
      <c r="K42" s="2107"/>
      <c r="L42" s="2116"/>
      <c r="M42" s="2116"/>
      <c r="N42" s="2111"/>
      <c r="O42" s="2116"/>
      <c r="P42" s="2116"/>
      <c r="Q42" s="2111"/>
      <c r="R42" s="2111"/>
      <c r="S42" s="2111"/>
    </row>
    <row r="43" spans="1:19" s="2113" customFormat="1" ht="12" customHeight="1" x14ac:dyDescent="0.2">
      <c r="A43" s="2098"/>
      <c r="B43" s="2099"/>
      <c r="C43" s="2100"/>
      <c r="D43" s="2100"/>
      <c r="E43" s="2101"/>
      <c r="F43" s="2102"/>
      <c r="G43" s="2103"/>
      <c r="H43" s="2104"/>
      <c r="I43" s="2116"/>
      <c r="J43" s="2102"/>
      <c r="K43" s="2107"/>
      <c r="L43" s="2116"/>
      <c r="M43" s="2116"/>
      <c r="N43" s="2111"/>
      <c r="O43" s="2116"/>
      <c r="P43" s="2116"/>
      <c r="Q43" s="2111"/>
      <c r="R43" s="2111"/>
      <c r="S43" s="2111"/>
    </row>
    <row r="44" spans="1:19" s="2113" customFormat="1" ht="12" customHeight="1" x14ac:dyDescent="0.2">
      <c r="A44" s="2098"/>
      <c r="B44" s="2099"/>
      <c r="C44" s="2100"/>
      <c r="D44" s="2100"/>
      <c r="E44" s="2101"/>
      <c r="F44" s="2102"/>
      <c r="G44" s="2103"/>
      <c r="H44" s="2104"/>
      <c r="I44" s="2116"/>
      <c r="J44" s="2102"/>
      <c r="K44" s="2107"/>
      <c r="L44" s="2116"/>
      <c r="M44" s="2116"/>
      <c r="N44" s="2111"/>
      <c r="O44" s="2116"/>
      <c r="P44" s="2116"/>
      <c r="Q44" s="2111"/>
      <c r="R44" s="2111"/>
      <c r="S44" s="2111"/>
    </row>
    <row r="45" spans="1:19" s="2113" customFormat="1" ht="12" customHeight="1" x14ac:dyDescent="0.2">
      <c r="A45" s="2098"/>
      <c r="B45" s="2099"/>
      <c r="C45" s="2100"/>
      <c r="D45" s="2100"/>
      <c r="E45" s="2101"/>
      <c r="F45" s="2102"/>
      <c r="G45" s="2103"/>
      <c r="H45" s="2104"/>
      <c r="I45" s="2116"/>
      <c r="J45" s="2102"/>
      <c r="K45" s="2107"/>
      <c r="L45" s="2116"/>
      <c r="M45" s="2116"/>
      <c r="N45" s="2111"/>
      <c r="O45" s="2116"/>
      <c r="P45" s="2116"/>
      <c r="Q45" s="2111"/>
      <c r="R45" s="2111"/>
      <c r="S45" s="2111"/>
    </row>
    <row r="46" spans="1:19" s="2113" customFormat="1" ht="12" customHeight="1" x14ac:dyDescent="0.2">
      <c r="A46" s="2098"/>
      <c r="B46" s="2099"/>
      <c r="C46" s="2100"/>
      <c r="D46" s="2100"/>
      <c r="E46" s="2101"/>
      <c r="F46" s="2102"/>
      <c r="G46" s="2103"/>
      <c r="H46" s="2104"/>
      <c r="I46" s="2116"/>
      <c r="J46" s="2102"/>
      <c r="K46" s="2107"/>
      <c r="L46" s="2116"/>
      <c r="M46" s="2116"/>
      <c r="N46" s="2111"/>
      <c r="O46" s="2116"/>
      <c r="P46" s="2116"/>
      <c r="Q46" s="2111"/>
      <c r="R46" s="2111"/>
      <c r="S46" s="2111"/>
    </row>
    <row r="47" spans="1:19" s="2113" customFormat="1" ht="12" customHeight="1" x14ac:dyDescent="0.2">
      <c r="A47" s="2098"/>
      <c r="B47" s="2099"/>
      <c r="C47" s="2100"/>
      <c r="D47" s="2100"/>
      <c r="E47" s="2101"/>
      <c r="F47" s="2102"/>
      <c r="G47" s="2103"/>
      <c r="H47" s="2104"/>
      <c r="I47" s="2116"/>
      <c r="J47" s="2102"/>
      <c r="K47" s="2107"/>
      <c r="L47" s="2116"/>
      <c r="M47" s="2116"/>
      <c r="N47" s="2111"/>
      <c r="O47" s="2116"/>
      <c r="P47" s="2116"/>
      <c r="Q47" s="2111"/>
      <c r="R47" s="2111"/>
      <c r="S47" s="2111"/>
    </row>
    <row r="48" spans="1:19" s="2113" customFormat="1" ht="12" customHeight="1" x14ac:dyDescent="0.2">
      <c r="A48" s="2098"/>
      <c r="B48" s="2099"/>
      <c r="C48" s="2100"/>
      <c r="D48" s="2100"/>
      <c r="E48" s="2101"/>
      <c r="F48" s="2102"/>
      <c r="G48" s="2103"/>
      <c r="H48" s="2104"/>
      <c r="I48" s="2116"/>
      <c r="J48" s="2102"/>
      <c r="K48" s="2107"/>
      <c r="L48" s="2116"/>
      <c r="M48" s="2116"/>
      <c r="N48" s="2111"/>
      <c r="O48" s="2116"/>
      <c r="P48" s="2116"/>
      <c r="Q48" s="2111"/>
      <c r="R48" s="2111"/>
      <c r="S48" s="2111"/>
    </row>
    <row r="49" spans="1:19" s="2113" customFormat="1" ht="12" customHeight="1" x14ac:dyDescent="0.2">
      <c r="A49" s="2098"/>
      <c r="B49" s="2099"/>
      <c r="C49" s="2100"/>
      <c r="D49" s="2100"/>
      <c r="E49" s="2101"/>
      <c r="F49" s="2102"/>
      <c r="G49" s="2103"/>
      <c r="H49" s="2104"/>
      <c r="I49" s="2116"/>
      <c r="J49" s="2102"/>
      <c r="K49" s="2107"/>
      <c r="L49" s="2116"/>
      <c r="M49" s="2116"/>
      <c r="N49" s="2111"/>
      <c r="O49" s="2116"/>
      <c r="P49" s="2116"/>
      <c r="Q49" s="2111"/>
      <c r="R49" s="2111"/>
      <c r="S49" s="2111"/>
    </row>
    <row r="50" spans="1:19" s="2113" customFormat="1" ht="12" customHeight="1" x14ac:dyDescent="0.2">
      <c r="A50" s="2098"/>
      <c r="B50" s="2099"/>
      <c r="C50" s="2100"/>
      <c r="D50" s="2100"/>
      <c r="E50" s="2101"/>
      <c r="F50" s="2102"/>
      <c r="G50" s="2103"/>
      <c r="H50" s="2104"/>
      <c r="I50" s="2116"/>
      <c r="J50" s="2102"/>
      <c r="K50" s="2107"/>
      <c r="L50" s="2116"/>
      <c r="M50" s="2116"/>
      <c r="N50" s="2111"/>
      <c r="O50" s="2116"/>
      <c r="P50" s="2116"/>
      <c r="Q50" s="2111"/>
      <c r="R50" s="2111"/>
      <c r="S50" s="2111"/>
    </row>
    <row r="51" spans="1:19" s="2113" customFormat="1" ht="12" customHeight="1" x14ac:dyDescent="0.2">
      <c r="A51" s="2098"/>
      <c r="B51" s="2099"/>
      <c r="C51" s="2100"/>
      <c r="D51" s="2100"/>
      <c r="E51" s="2101"/>
      <c r="F51" s="2102"/>
      <c r="G51" s="2103"/>
      <c r="H51" s="2104"/>
      <c r="I51" s="2116"/>
      <c r="J51" s="2102"/>
      <c r="K51" s="2107"/>
      <c r="L51" s="2116"/>
      <c r="M51" s="2116"/>
      <c r="N51" s="2111"/>
      <c r="O51" s="2116"/>
      <c r="P51" s="2116"/>
      <c r="Q51" s="2111"/>
      <c r="R51" s="2111"/>
      <c r="S51" s="2111"/>
    </row>
    <row r="52" spans="1:19" s="2113" customFormat="1" ht="12" customHeight="1" x14ac:dyDescent="0.2">
      <c r="A52" s="2098"/>
      <c r="B52" s="2099"/>
      <c r="C52" s="2100"/>
      <c r="D52" s="2100"/>
      <c r="E52" s="2101"/>
      <c r="F52" s="2102"/>
      <c r="G52" s="2103"/>
      <c r="H52" s="2104"/>
      <c r="I52" s="2116"/>
      <c r="J52" s="2102"/>
      <c r="K52" s="2107"/>
      <c r="L52" s="2116"/>
      <c r="M52" s="2116"/>
      <c r="N52" s="2111"/>
      <c r="O52" s="2116"/>
      <c r="P52" s="2116"/>
      <c r="Q52" s="2111"/>
      <c r="R52" s="2111"/>
      <c r="S52" s="2111"/>
    </row>
    <row r="53" spans="1:19" s="2113" customFormat="1" ht="12" customHeight="1" x14ac:dyDescent="0.2">
      <c r="A53" s="2098"/>
      <c r="B53" s="2099"/>
      <c r="C53" s="2100"/>
      <c r="D53" s="2100"/>
      <c r="E53" s="2101"/>
      <c r="F53" s="2102"/>
      <c r="G53" s="2103"/>
      <c r="H53" s="2104"/>
      <c r="I53" s="2116"/>
      <c r="J53" s="2102"/>
      <c r="K53" s="2107"/>
      <c r="L53" s="2116"/>
      <c r="M53" s="2116"/>
      <c r="N53" s="2111"/>
      <c r="O53" s="2116"/>
      <c r="P53" s="2116"/>
      <c r="Q53" s="2111"/>
      <c r="R53" s="2111"/>
      <c r="S53" s="2111"/>
    </row>
    <row r="54" spans="1:19" s="2113" customFormat="1" ht="12" customHeight="1" x14ac:dyDescent="0.2">
      <c r="A54" s="2098"/>
      <c r="B54" s="2099"/>
      <c r="C54" s="2100"/>
      <c r="D54" s="2100"/>
      <c r="E54" s="2101"/>
      <c r="F54" s="2102"/>
      <c r="G54" s="2103"/>
      <c r="H54" s="2104"/>
      <c r="I54" s="2116"/>
      <c r="J54" s="2102"/>
      <c r="K54" s="2107"/>
      <c r="L54" s="2116"/>
      <c r="M54" s="2116"/>
      <c r="N54" s="2117"/>
      <c r="O54" s="2116"/>
      <c r="P54" s="2116"/>
      <c r="Q54" s="2117"/>
      <c r="R54" s="2117"/>
      <c r="S54" s="2111"/>
    </row>
    <row r="55" spans="1:19" s="2113" customFormat="1" ht="12" customHeight="1" x14ac:dyDescent="0.2">
      <c r="A55" s="2098"/>
      <c r="B55" s="2099"/>
      <c r="C55" s="2100"/>
      <c r="D55" s="2100"/>
      <c r="E55" s="2101"/>
      <c r="F55" s="2102"/>
      <c r="G55" s="2103"/>
      <c r="H55" s="2104"/>
      <c r="I55" s="2103"/>
      <c r="J55" s="2102"/>
      <c r="K55" s="2107"/>
      <c r="L55" s="2116"/>
      <c r="M55" s="2116"/>
      <c r="N55" s="2117"/>
      <c r="O55" s="2116"/>
      <c r="P55" s="2116"/>
      <c r="Q55" s="2117"/>
      <c r="R55" s="2117"/>
      <c r="S55" s="2111"/>
    </row>
    <row r="56" spans="1:19" s="2113" customFormat="1" ht="12" customHeight="1" x14ac:dyDescent="0.2">
      <c r="A56" s="2098"/>
      <c r="B56" s="2099"/>
      <c r="C56" s="2100"/>
      <c r="D56" s="2100"/>
      <c r="E56" s="2101"/>
      <c r="F56" s="2102"/>
      <c r="G56" s="2103"/>
      <c r="H56" s="2104"/>
      <c r="I56" s="2116"/>
      <c r="J56" s="2102"/>
      <c r="K56" s="2107"/>
      <c r="L56" s="2116"/>
      <c r="M56" s="2116"/>
      <c r="N56" s="2111"/>
      <c r="O56" s="2116"/>
      <c r="P56" s="2116"/>
      <c r="Q56" s="2111"/>
      <c r="R56" s="2111"/>
      <c r="S56" s="2111"/>
    </row>
    <row r="57" spans="1:19" s="2113" customFormat="1" ht="12" customHeight="1" x14ac:dyDescent="0.2">
      <c r="A57" s="2098"/>
      <c r="B57" s="2099"/>
      <c r="C57" s="2100"/>
      <c r="D57" s="2100"/>
      <c r="E57" s="2101"/>
      <c r="F57" s="2102"/>
      <c r="G57" s="2103"/>
      <c r="H57" s="2104"/>
      <c r="I57" s="2116"/>
      <c r="J57" s="2102"/>
      <c r="K57" s="2107"/>
      <c r="L57" s="2116"/>
      <c r="M57" s="2116"/>
      <c r="N57" s="2117"/>
      <c r="O57" s="2117"/>
      <c r="P57" s="2111"/>
      <c r="Q57" s="2117"/>
      <c r="R57" s="2117"/>
      <c r="S57" s="2112"/>
    </row>
    <row r="58" spans="1:19" s="2113" customFormat="1" ht="12" customHeight="1" x14ac:dyDescent="0.2">
      <c r="A58" s="2098"/>
      <c r="B58" s="2099"/>
      <c r="C58" s="2100"/>
      <c r="D58" s="2100"/>
      <c r="E58" s="2101"/>
      <c r="F58" s="2102"/>
      <c r="G58" s="2103"/>
      <c r="H58" s="2104"/>
      <c r="I58" s="2116"/>
      <c r="J58" s="2102"/>
      <c r="K58" s="2107"/>
      <c r="L58" s="2116"/>
      <c r="M58" s="2116"/>
      <c r="N58" s="2111"/>
      <c r="O58" s="2116"/>
      <c r="P58" s="2116"/>
      <c r="Q58" s="2111"/>
      <c r="R58" s="2111"/>
      <c r="S58" s="2111"/>
    </row>
    <row r="59" spans="1:19" s="2113" customFormat="1" ht="12" customHeight="1" x14ac:dyDescent="0.2">
      <c r="A59" s="2098"/>
      <c r="B59" s="2099"/>
      <c r="C59" s="2100"/>
      <c r="D59" s="2100"/>
      <c r="E59" s="2101"/>
      <c r="F59" s="2102"/>
      <c r="G59" s="2103"/>
      <c r="H59" s="2104"/>
      <c r="I59" s="2116"/>
      <c r="J59" s="2102"/>
      <c r="K59" s="2107"/>
      <c r="L59" s="2116"/>
      <c r="M59" s="2116"/>
      <c r="N59" s="2111"/>
      <c r="O59" s="2116"/>
      <c r="P59" s="2116"/>
      <c r="Q59" s="2111"/>
      <c r="R59" s="2111"/>
      <c r="S59" s="2111"/>
    </row>
    <row r="60" spans="1:19" s="2113" customFormat="1" ht="12" customHeight="1" x14ac:dyDescent="0.2">
      <c r="A60" s="2098"/>
      <c r="B60" s="2099"/>
      <c r="C60" s="2100"/>
      <c r="D60" s="2100"/>
      <c r="E60" s="2101"/>
      <c r="F60" s="2102"/>
      <c r="G60" s="2103"/>
      <c r="H60" s="2104"/>
      <c r="I60" s="2116"/>
      <c r="J60" s="2102"/>
      <c r="K60" s="2107"/>
      <c r="L60" s="2116"/>
      <c r="M60" s="2116"/>
      <c r="N60" s="2117"/>
      <c r="O60" s="2117"/>
      <c r="P60" s="2111"/>
      <c r="Q60" s="2117"/>
      <c r="R60" s="2117"/>
      <c r="S60" s="2112"/>
    </row>
    <row r="61" spans="1:19" s="2113" customFormat="1" ht="12" customHeight="1" x14ac:dyDescent="0.2">
      <c r="A61" s="2098"/>
      <c r="B61" s="2099"/>
      <c r="C61" s="2100"/>
      <c r="D61" s="2100"/>
      <c r="E61" s="2101"/>
      <c r="F61" s="2102"/>
      <c r="G61" s="2103"/>
      <c r="H61" s="2104"/>
      <c r="I61" s="2116"/>
      <c r="J61" s="2102"/>
      <c r="K61" s="2107"/>
      <c r="L61" s="2116"/>
      <c r="M61" s="2116"/>
      <c r="N61" s="2111"/>
      <c r="O61" s="2116"/>
      <c r="P61" s="2116"/>
      <c r="Q61" s="2111"/>
      <c r="R61" s="2111"/>
      <c r="S61" s="2112"/>
    </row>
    <row r="62" spans="1:19" s="2113" customFormat="1" ht="12" customHeight="1" x14ac:dyDescent="0.2">
      <c r="A62" s="2098"/>
      <c r="B62" s="2099"/>
      <c r="C62" s="2100"/>
      <c r="D62" s="2100"/>
      <c r="E62" s="2101"/>
      <c r="F62" s="2102"/>
      <c r="G62" s="2103"/>
      <c r="H62" s="2104"/>
      <c r="I62" s="2116"/>
      <c r="J62" s="2102"/>
      <c r="K62" s="2107"/>
      <c r="L62" s="2116"/>
      <c r="M62" s="2116"/>
      <c r="N62" s="2117"/>
      <c r="O62" s="2116"/>
      <c r="P62" s="2116"/>
      <c r="Q62" s="2117"/>
      <c r="R62" s="2117"/>
      <c r="S62" s="2111"/>
    </row>
    <row r="63" spans="1:19" s="2113" customFormat="1" ht="12" customHeight="1" x14ac:dyDescent="0.2">
      <c r="A63" s="2098"/>
      <c r="B63" s="2099"/>
      <c r="C63" s="2100"/>
      <c r="D63" s="2100"/>
      <c r="E63" s="2101"/>
      <c r="F63" s="2102"/>
      <c r="G63" s="2103"/>
      <c r="H63" s="2104"/>
      <c r="I63" s="2116"/>
      <c r="J63" s="2102"/>
      <c r="K63" s="2107"/>
      <c r="L63" s="2116"/>
      <c r="M63" s="2116"/>
      <c r="N63" s="2111"/>
      <c r="O63" s="2116"/>
      <c r="P63" s="2116"/>
      <c r="Q63" s="2111"/>
      <c r="R63" s="2111"/>
      <c r="S63" s="2111"/>
    </row>
    <row r="64" spans="1:19" s="2113" customFormat="1" ht="12" customHeight="1" x14ac:dyDescent="0.2">
      <c r="A64" s="2099"/>
      <c r="B64" s="2099"/>
      <c r="C64" s="2100"/>
      <c r="D64" s="2100"/>
      <c r="E64" s="2101"/>
      <c r="F64" s="2102"/>
      <c r="G64" s="2103"/>
      <c r="H64" s="2104"/>
      <c r="I64" s="2103"/>
      <c r="J64" s="2102"/>
      <c r="K64" s="2107"/>
      <c r="L64" s="2116"/>
      <c r="M64" s="2116"/>
      <c r="N64" s="2117"/>
      <c r="O64" s="2117"/>
      <c r="P64" s="2111"/>
      <c r="Q64" s="2117"/>
      <c r="R64" s="2117"/>
      <c r="S64" s="2112"/>
    </row>
    <row r="65" spans="1:19" s="2113" customFormat="1" ht="12" customHeight="1" x14ac:dyDescent="0.2">
      <c r="A65" s="2099"/>
      <c r="B65" s="2099"/>
      <c r="C65" s="2100"/>
      <c r="D65" s="2100"/>
      <c r="E65" s="2101"/>
      <c r="F65" s="2102"/>
      <c r="G65" s="2103"/>
      <c r="H65" s="2104"/>
      <c r="I65" s="2103"/>
      <c r="J65" s="2102"/>
      <c r="K65" s="2107"/>
      <c r="L65" s="2116"/>
      <c r="M65" s="2116"/>
      <c r="N65" s="2117"/>
      <c r="O65" s="2117"/>
      <c r="P65" s="2111"/>
      <c r="Q65" s="2117"/>
      <c r="R65" s="2117"/>
      <c r="S65" s="2112"/>
    </row>
    <row r="66" spans="1:19" s="2113" customFormat="1" ht="12" customHeight="1" x14ac:dyDescent="0.2">
      <c r="A66" s="2099"/>
      <c r="B66" s="2099"/>
      <c r="C66" s="2100"/>
      <c r="D66" s="2100"/>
      <c r="E66" s="2101"/>
      <c r="F66" s="2102"/>
      <c r="G66" s="2103"/>
      <c r="H66" s="2104"/>
      <c r="I66" s="2103"/>
      <c r="J66" s="2102"/>
      <c r="K66" s="2107"/>
      <c r="L66" s="2116"/>
      <c r="M66" s="2116"/>
      <c r="N66" s="2117"/>
      <c r="O66" s="2117"/>
      <c r="P66" s="2111"/>
      <c r="Q66" s="2117"/>
      <c r="R66" s="2117"/>
      <c r="S66" s="2112"/>
    </row>
    <row r="67" spans="1:19" s="2113" customFormat="1" ht="12" customHeight="1" x14ac:dyDescent="0.2">
      <c r="A67" s="2099"/>
      <c r="B67" s="2099"/>
      <c r="C67" s="2100"/>
      <c r="D67" s="2100"/>
      <c r="E67" s="2101"/>
      <c r="F67" s="2102"/>
      <c r="G67" s="2103"/>
      <c r="H67" s="2104"/>
      <c r="I67" s="2103"/>
      <c r="J67" s="2102"/>
      <c r="K67" s="2107"/>
      <c r="L67" s="2116"/>
      <c r="M67" s="2116"/>
      <c r="N67" s="2117"/>
      <c r="O67" s="2117"/>
      <c r="P67" s="2111"/>
      <c r="Q67" s="2117"/>
      <c r="R67" s="2117"/>
      <c r="S67" s="2112"/>
    </row>
    <row r="68" spans="1:19" s="2113" customFormat="1" ht="12" customHeight="1" x14ac:dyDescent="0.2">
      <c r="A68" s="2099"/>
      <c r="B68" s="2099"/>
      <c r="C68" s="2100"/>
      <c r="D68" s="2100"/>
      <c r="E68" s="2101"/>
      <c r="F68" s="2102"/>
      <c r="G68" s="2103"/>
      <c r="H68" s="2104"/>
      <c r="I68" s="2103"/>
      <c r="J68" s="2102"/>
      <c r="K68" s="2107"/>
      <c r="L68" s="2116"/>
      <c r="M68" s="2116"/>
      <c r="N68" s="2117"/>
      <c r="O68" s="2117"/>
      <c r="P68" s="2111"/>
      <c r="Q68" s="2117"/>
      <c r="R68" s="2117"/>
      <c r="S68" s="2112"/>
    </row>
    <row r="69" spans="1:19" s="2113" customFormat="1" ht="12.75" customHeight="1" x14ac:dyDescent="0.2">
      <c r="A69" s="2099"/>
      <c r="B69" s="2099"/>
      <c r="C69" s="2100"/>
      <c r="D69" s="2100"/>
      <c r="E69" s="2101"/>
      <c r="F69" s="2118"/>
      <c r="G69" s="224"/>
      <c r="H69" s="2104"/>
      <c r="I69" s="2116"/>
      <c r="J69" s="2118"/>
      <c r="K69" s="2118"/>
      <c r="L69" s="2116"/>
      <c r="M69" s="2116"/>
      <c r="N69" s="2111"/>
      <c r="O69" s="2116"/>
      <c r="P69" s="2116"/>
      <c r="Q69" s="2111"/>
      <c r="R69" s="2111"/>
      <c r="S69" s="2111"/>
    </row>
    <row r="70" spans="1:19" s="2113" customFormat="1" ht="12.75" customHeight="1" x14ac:dyDescent="0.2">
      <c r="A70" s="2099"/>
      <c r="B70" s="2099"/>
      <c r="C70" s="2100"/>
      <c r="D70" s="2100"/>
      <c r="E70" s="2101"/>
      <c r="F70" s="2118"/>
      <c r="G70" s="224"/>
      <c r="H70" s="2104"/>
      <c r="I70" s="2116"/>
      <c r="J70" s="2118"/>
      <c r="K70" s="2118"/>
      <c r="L70" s="2116"/>
      <c r="M70" s="2116"/>
      <c r="N70" s="2111"/>
      <c r="O70" s="2116"/>
      <c r="P70" s="2116"/>
      <c r="Q70" s="2111"/>
      <c r="R70" s="2111"/>
      <c r="S70" s="2111"/>
    </row>
    <row r="71" spans="1:19" s="2113" customFormat="1" ht="12.75" customHeight="1" x14ac:dyDescent="0.2">
      <c r="A71" s="2099"/>
      <c r="B71" s="2099"/>
      <c r="C71" s="2100"/>
      <c r="D71" s="2100"/>
      <c r="E71" s="2101"/>
      <c r="F71" s="2118"/>
      <c r="G71" s="224"/>
      <c r="H71" s="2104"/>
      <c r="I71" s="2116"/>
      <c r="J71" s="2118"/>
      <c r="K71" s="2118"/>
      <c r="L71" s="2116"/>
      <c r="M71" s="2116"/>
      <c r="N71" s="2111"/>
      <c r="O71" s="2116"/>
      <c r="P71" s="2116"/>
      <c r="Q71" s="2111"/>
      <c r="R71" s="2111"/>
      <c r="S71" s="2111"/>
    </row>
    <row r="72" spans="1:19" s="2113" customFormat="1" ht="12.75" customHeight="1" x14ac:dyDescent="0.2">
      <c r="A72" s="2099"/>
      <c r="B72" s="2099"/>
      <c r="C72" s="2100"/>
      <c r="D72" s="2100"/>
      <c r="E72" s="2101"/>
      <c r="F72" s="2118"/>
      <c r="G72" s="224"/>
      <c r="H72" s="2104"/>
      <c r="I72" s="2116"/>
      <c r="J72" s="2118"/>
      <c r="K72" s="2118"/>
      <c r="L72" s="2116"/>
      <c r="M72" s="2116"/>
      <c r="N72" s="2111"/>
      <c r="O72" s="2116"/>
      <c r="P72" s="2116"/>
      <c r="Q72" s="2111"/>
      <c r="R72" s="2111"/>
      <c r="S72" s="2111"/>
    </row>
    <row r="73" spans="1:19" s="51" customFormat="1" x14ac:dyDescent="0.2">
      <c r="A73" s="224"/>
      <c r="B73" s="224"/>
      <c r="C73" s="2078"/>
      <c r="D73" s="2078"/>
      <c r="E73" s="2078"/>
      <c r="F73" s="224"/>
      <c r="G73" s="224"/>
      <c r="H73" s="224"/>
      <c r="I73" s="2116"/>
      <c r="J73" s="224"/>
      <c r="K73" s="224"/>
      <c r="L73" s="224"/>
      <c r="M73" s="224"/>
      <c r="N73" s="2119"/>
      <c r="O73" s="224"/>
      <c r="P73" s="224"/>
      <c r="Q73" s="2119"/>
      <c r="R73" s="2119"/>
      <c r="S73" s="224"/>
    </row>
    <row r="74" spans="1:19" s="51" customFormat="1" x14ac:dyDescent="0.2">
      <c r="A74" s="224"/>
      <c r="B74" s="224"/>
      <c r="C74" s="2120"/>
      <c r="D74" s="2120"/>
      <c r="E74" s="2120"/>
      <c r="F74" s="222"/>
      <c r="G74" s="222"/>
      <c r="H74" s="222"/>
      <c r="I74" s="2121"/>
      <c r="J74" s="222"/>
      <c r="K74" s="2122"/>
      <c r="L74" s="2122"/>
      <c r="M74" s="2122"/>
      <c r="N74" s="2123"/>
      <c r="O74" s="222"/>
      <c r="P74" s="222"/>
      <c r="Q74" s="2123"/>
      <c r="R74" s="2123"/>
    </row>
    <row r="75" spans="1:19" s="51" customFormat="1" x14ac:dyDescent="0.2">
      <c r="A75" s="224"/>
      <c r="B75" s="224"/>
      <c r="C75" s="2078"/>
      <c r="D75" s="2078"/>
      <c r="E75" s="2078"/>
      <c r="F75" s="224"/>
      <c r="G75" s="224"/>
      <c r="H75" s="224"/>
      <c r="I75" s="2116"/>
      <c r="J75" s="224"/>
      <c r="K75" s="2079"/>
      <c r="L75" s="2079"/>
      <c r="M75" s="2079"/>
      <c r="N75" s="2119"/>
      <c r="O75" s="224"/>
      <c r="P75" s="224"/>
      <c r="Q75" s="224"/>
      <c r="R75" s="224"/>
    </row>
    <row r="76" spans="1:19" s="51" customFormat="1" x14ac:dyDescent="0.2">
      <c r="A76" s="224"/>
      <c r="B76" s="224"/>
      <c r="C76" s="2078"/>
      <c r="D76" s="2078"/>
      <c r="E76" s="2078"/>
      <c r="F76" s="224"/>
      <c r="G76" s="224"/>
      <c r="H76" s="224"/>
      <c r="I76" s="224"/>
      <c r="J76" s="224"/>
      <c r="K76" s="224"/>
      <c r="L76" s="2079"/>
      <c r="M76" s="2079"/>
      <c r="N76" s="2124"/>
      <c r="O76" s="224"/>
      <c r="P76" s="224"/>
      <c r="Q76" s="224"/>
      <c r="R76" s="224"/>
      <c r="S76" s="224"/>
    </row>
    <row r="77" spans="1:19" s="51" customFormat="1" x14ac:dyDescent="0.2">
      <c r="A77" s="224"/>
      <c r="B77" s="224"/>
      <c r="C77" s="2078"/>
      <c r="D77" s="2078"/>
      <c r="E77" s="2078"/>
      <c r="F77" s="224"/>
      <c r="G77" s="224"/>
      <c r="H77" s="224"/>
      <c r="I77" s="224"/>
      <c r="J77" s="224"/>
      <c r="K77" s="224"/>
      <c r="L77" s="2079"/>
      <c r="M77" s="2079"/>
      <c r="N77" s="2124"/>
      <c r="O77" s="224"/>
      <c r="P77" s="224"/>
      <c r="Q77" s="224"/>
      <c r="R77" s="224"/>
      <c r="S77" s="224"/>
    </row>
    <row r="78" spans="1:19" s="51" customFormat="1" x14ac:dyDescent="0.2">
      <c r="A78" s="224"/>
      <c r="B78" s="224"/>
      <c r="C78" s="2078"/>
      <c r="D78" s="2078"/>
      <c r="E78" s="2078"/>
      <c r="F78" s="224"/>
      <c r="G78" s="224"/>
      <c r="H78" s="224"/>
      <c r="I78" s="224"/>
      <c r="J78" s="224"/>
      <c r="K78" s="224"/>
      <c r="L78" s="2079"/>
      <c r="M78" s="2079"/>
      <c r="N78" s="2124"/>
      <c r="O78" s="224"/>
      <c r="P78" s="224"/>
      <c r="Q78" s="224"/>
      <c r="R78" s="224"/>
      <c r="S78" s="224"/>
    </row>
    <row r="79" spans="1:19" s="51" customFormat="1" x14ac:dyDescent="0.2">
      <c r="A79" s="224"/>
      <c r="B79" s="224"/>
      <c r="C79" s="2078"/>
      <c r="D79" s="2078"/>
      <c r="E79" s="2078"/>
      <c r="F79" s="224"/>
      <c r="G79" s="224"/>
      <c r="H79" s="224"/>
      <c r="I79" s="224"/>
      <c r="J79" s="224"/>
      <c r="K79" s="224"/>
      <c r="L79" s="2079"/>
      <c r="M79" s="2079"/>
      <c r="N79" s="2124"/>
      <c r="O79" s="224"/>
      <c r="P79" s="224"/>
      <c r="Q79" s="224"/>
      <c r="R79" s="224"/>
      <c r="S79" s="224"/>
    </row>
    <row r="80" spans="1:19" s="51" customFormat="1" x14ac:dyDescent="0.2">
      <c r="A80" s="224"/>
      <c r="B80" s="224"/>
      <c r="C80" s="2078"/>
      <c r="D80" s="2078"/>
      <c r="E80" s="2078"/>
      <c r="F80" s="224"/>
      <c r="G80" s="224"/>
      <c r="H80" s="224"/>
      <c r="I80" s="224"/>
      <c r="J80" s="224"/>
      <c r="K80" s="224"/>
      <c r="L80" s="2079"/>
      <c r="M80" s="2079"/>
      <c r="N80" s="2124"/>
      <c r="O80" s="224"/>
      <c r="P80" s="224"/>
      <c r="Q80" s="224"/>
      <c r="R80" s="224"/>
      <c r="S80" s="224"/>
    </row>
    <row r="81" spans="1:19" s="51" customFormat="1" x14ac:dyDescent="0.2">
      <c r="A81" s="224"/>
      <c r="B81" s="224"/>
      <c r="C81" s="2078"/>
      <c r="D81" s="2078"/>
      <c r="E81" s="2078"/>
      <c r="F81" s="224"/>
      <c r="G81" s="224"/>
      <c r="H81" s="224"/>
      <c r="I81" s="224"/>
      <c r="J81" s="224"/>
      <c r="K81" s="224"/>
      <c r="L81" s="224"/>
      <c r="M81" s="224"/>
      <c r="N81" s="2119"/>
      <c r="O81" s="224"/>
      <c r="P81" s="224"/>
      <c r="Q81" s="224"/>
      <c r="R81" s="224"/>
      <c r="S81" s="224"/>
    </row>
    <row r="82" spans="1:19" s="51" customFormat="1" x14ac:dyDescent="0.2">
      <c r="C82" s="2125"/>
      <c r="D82" s="2125"/>
      <c r="E82" s="2125"/>
      <c r="G82" s="2093"/>
      <c r="N82" s="2084"/>
    </row>
    <row r="83" spans="1:19" s="51" customFormat="1" x14ac:dyDescent="0.2">
      <c r="A83" s="224"/>
      <c r="B83" s="224"/>
      <c r="C83" s="2078"/>
      <c r="D83" s="2078"/>
      <c r="E83" s="2078"/>
      <c r="F83" s="224"/>
      <c r="G83" s="224"/>
      <c r="H83" s="224"/>
      <c r="I83" s="224"/>
      <c r="J83" s="224"/>
      <c r="K83" s="224"/>
      <c r="L83" s="2079"/>
      <c r="M83" s="2079"/>
      <c r="N83" s="2079"/>
      <c r="O83" s="224"/>
      <c r="P83" s="224"/>
      <c r="Q83" s="224"/>
      <c r="R83" s="224"/>
      <c r="S83" s="224"/>
    </row>
    <row r="84" spans="1:19" s="51" customFormat="1" x14ac:dyDescent="0.2">
      <c r="A84" s="224"/>
      <c r="B84" s="224"/>
      <c r="C84" s="2078"/>
      <c r="D84" s="2078"/>
      <c r="E84" s="2078"/>
      <c r="F84" s="224"/>
      <c r="G84" s="224"/>
      <c r="H84" s="224"/>
      <c r="I84" s="224"/>
      <c r="J84" s="224"/>
      <c r="K84" s="224"/>
      <c r="L84" s="2079"/>
      <c r="M84" s="2079"/>
      <c r="N84" s="2079"/>
      <c r="O84" s="224"/>
      <c r="P84" s="224"/>
      <c r="Q84" s="224"/>
      <c r="R84" s="224"/>
      <c r="S84" s="224"/>
    </row>
    <row r="85" spans="1:19" s="51" customFormat="1" x14ac:dyDescent="0.2">
      <c r="A85" s="224"/>
      <c r="B85" s="224"/>
      <c r="C85" s="2078"/>
      <c r="D85" s="2078"/>
      <c r="E85" s="2078"/>
      <c r="F85" s="224"/>
      <c r="G85" s="224"/>
      <c r="H85" s="224"/>
      <c r="I85" s="224"/>
      <c r="J85" s="224"/>
      <c r="K85" s="224"/>
      <c r="L85" s="2079"/>
      <c r="M85" s="2079"/>
      <c r="N85" s="2079"/>
      <c r="O85" s="224"/>
      <c r="P85" s="224"/>
      <c r="Q85" s="224"/>
      <c r="R85" s="224"/>
      <c r="S85" s="224"/>
    </row>
    <row r="86" spans="1:19" s="51" customFormat="1" x14ac:dyDescent="0.2">
      <c r="A86" s="224"/>
      <c r="B86" s="224"/>
      <c r="C86" s="2078"/>
      <c r="D86" s="2078"/>
      <c r="E86" s="2078"/>
      <c r="F86" s="224"/>
      <c r="G86" s="224"/>
      <c r="H86" s="224"/>
      <c r="I86" s="224"/>
      <c r="J86" s="224"/>
      <c r="K86" s="224"/>
      <c r="L86" s="2079"/>
      <c r="M86" s="2079"/>
      <c r="N86" s="2079"/>
      <c r="O86" s="224"/>
      <c r="P86" s="224"/>
      <c r="Q86" s="224"/>
      <c r="R86" s="224"/>
      <c r="S86" s="224"/>
    </row>
    <row r="87" spans="1:19" s="51" customFormat="1" x14ac:dyDescent="0.2">
      <c r="A87" s="224"/>
      <c r="B87" s="224"/>
      <c r="C87" s="2078"/>
      <c r="D87" s="2078"/>
      <c r="E87" s="2078"/>
      <c r="F87" s="224"/>
      <c r="G87" s="224"/>
      <c r="H87" s="224"/>
      <c r="I87" s="224"/>
      <c r="J87" s="224"/>
      <c r="K87" s="224"/>
      <c r="L87" s="2079"/>
      <c r="M87" s="2079"/>
      <c r="N87" s="2079"/>
      <c r="O87" s="224"/>
      <c r="P87" s="224"/>
      <c r="Q87" s="224"/>
      <c r="R87" s="224"/>
      <c r="S87" s="224"/>
    </row>
    <row r="88" spans="1:19" s="51" customFormat="1" x14ac:dyDescent="0.2">
      <c r="A88" s="224"/>
      <c r="B88" s="224"/>
      <c r="C88" s="2078"/>
      <c r="D88" s="2078"/>
      <c r="E88" s="2078"/>
      <c r="F88" s="224"/>
      <c r="G88" s="224"/>
      <c r="H88" s="224"/>
      <c r="I88" s="224"/>
      <c r="J88" s="224"/>
      <c r="K88" s="224"/>
      <c r="L88" s="2079"/>
      <c r="M88" s="2079"/>
      <c r="N88" s="2079"/>
      <c r="O88" s="224"/>
      <c r="P88" s="224"/>
      <c r="Q88" s="224"/>
      <c r="R88" s="224"/>
      <c r="S88" s="224"/>
    </row>
    <row r="89" spans="1:19" s="51" customFormat="1" x14ac:dyDescent="0.2">
      <c r="A89" s="224"/>
      <c r="B89" s="224"/>
      <c r="C89" s="2078"/>
      <c r="D89" s="2078"/>
      <c r="E89" s="2078"/>
      <c r="F89" s="224"/>
      <c r="G89" s="224"/>
      <c r="H89" s="224"/>
      <c r="I89" s="224"/>
      <c r="J89" s="224"/>
      <c r="K89" s="224"/>
      <c r="L89" s="224"/>
      <c r="M89" s="224"/>
      <c r="N89" s="224"/>
      <c r="O89" s="224"/>
      <c r="P89" s="224"/>
      <c r="Q89" s="224"/>
      <c r="R89" s="224"/>
      <c r="S89" s="224"/>
    </row>
    <row r="90" spans="1:19" s="51" customFormat="1" x14ac:dyDescent="0.2">
      <c r="C90" s="2125"/>
      <c r="D90" s="2125"/>
    </row>
    <row r="91" spans="1:19" s="51" customFormat="1" x14ac:dyDescent="0.2">
      <c r="C91" s="2125"/>
      <c r="D91" s="2125"/>
    </row>
    <row r="92" spans="1:19" s="51" customFormat="1" ht="14.25" customHeight="1" x14ac:dyDescent="0.2">
      <c r="B92" s="2080" t="s">
        <v>679</v>
      </c>
      <c r="C92" s="2081"/>
      <c r="D92" s="2082"/>
      <c r="E92" s="2082"/>
      <c r="F92" s="2083"/>
      <c r="G92" s="2084"/>
    </row>
    <row r="93" spans="1:19" s="51" customFormat="1" ht="14.25" customHeight="1" x14ac:dyDescent="0.2">
      <c r="B93" s="2085"/>
      <c r="C93" s="2086"/>
      <c r="D93" s="2087"/>
      <c r="E93" s="2087"/>
      <c r="F93" s="2088"/>
      <c r="G93" s="2084"/>
    </row>
    <row r="94" spans="1:19" s="51" customFormat="1" ht="15" thickBot="1" x14ac:dyDescent="0.25">
      <c r="C94" s="2125"/>
      <c r="D94" s="2125"/>
    </row>
    <row r="95" spans="1:19" s="51" customFormat="1" x14ac:dyDescent="0.2">
      <c r="B95" s="2089" t="s">
        <v>680</v>
      </c>
      <c r="C95" s="2126"/>
      <c r="D95" s="2127"/>
      <c r="E95" s="2127"/>
      <c r="F95" s="2128"/>
      <c r="G95" s="2093"/>
      <c r="H95" s="2093"/>
      <c r="I95" s="2093"/>
      <c r="J95" s="2093"/>
      <c r="K95" s="2093"/>
      <c r="L95" s="2093"/>
      <c r="M95" s="2093"/>
      <c r="N95" s="2093"/>
      <c r="O95" s="2093"/>
      <c r="P95" s="2093"/>
      <c r="Q95" s="2093"/>
      <c r="R95" s="2093"/>
      <c r="S95" s="2093"/>
    </row>
    <row r="96" spans="1:19" s="51" customFormat="1" x14ac:dyDescent="0.2">
      <c r="B96" s="2094"/>
      <c r="C96" s="2129"/>
      <c r="D96" s="2130"/>
      <c r="E96" s="2130"/>
      <c r="F96" s="2131"/>
      <c r="G96" s="310"/>
      <c r="H96" s="310"/>
      <c r="I96" s="310"/>
      <c r="J96" s="310"/>
      <c r="K96" s="310"/>
      <c r="L96" s="310"/>
      <c r="M96" s="310"/>
      <c r="N96" s="310"/>
      <c r="O96" s="310"/>
      <c r="P96" s="310"/>
      <c r="Q96" s="310"/>
      <c r="R96" s="310"/>
      <c r="S96" s="310"/>
    </row>
    <row r="97" spans="2:19" s="51" customFormat="1" ht="15" thickBot="1" x14ac:dyDescent="0.25">
      <c r="B97" s="2095"/>
      <c r="C97" s="2132"/>
      <c r="D97" s="2133"/>
      <c r="E97" s="2133"/>
      <c r="F97" s="2134"/>
      <c r="G97" s="310"/>
      <c r="H97" s="310"/>
      <c r="I97" s="310"/>
      <c r="J97" s="310"/>
      <c r="K97" s="310"/>
      <c r="L97" s="310"/>
      <c r="M97" s="310"/>
      <c r="N97" s="310"/>
      <c r="O97" s="310"/>
      <c r="P97" s="310"/>
      <c r="Q97" s="310"/>
      <c r="R97" s="310"/>
      <c r="S97" s="310"/>
    </row>
    <row r="98" spans="2:19" s="51" customFormat="1" ht="15" thickBot="1" x14ac:dyDescent="0.25">
      <c r="B98" s="2096" t="s">
        <v>681</v>
      </c>
      <c r="C98" s="2090"/>
      <c r="D98" s="2091"/>
      <c r="E98" s="2091"/>
      <c r="F98" s="2092"/>
      <c r="G98" s="310"/>
      <c r="H98" s="310"/>
      <c r="I98" s="310"/>
      <c r="J98" s="310"/>
      <c r="K98" s="310"/>
      <c r="L98" s="310"/>
      <c r="M98" s="310"/>
      <c r="N98" s="310"/>
      <c r="O98" s="310"/>
      <c r="P98" s="310"/>
      <c r="Q98" s="310"/>
      <c r="R98" s="310"/>
      <c r="S98" s="310"/>
    </row>
    <row r="99" spans="2:19" s="51" customFormat="1" x14ac:dyDescent="0.2">
      <c r="C99" s="2125"/>
      <c r="D99" s="2125"/>
    </row>
    <row r="100" spans="2:19" s="51" customFormat="1" ht="15" x14ac:dyDescent="0.25">
      <c r="B100" s="51" t="s">
        <v>682</v>
      </c>
      <c r="C100" s="2125"/>
      <c r="D100" s="2125"/>
    </row>
    <row r="101" spans="2:19" s="51" customFormat="1" ht="15" x14ac:dyDescent="0.25">
      <c r="B101" s="51" t="s">
        <v>683</v>
      </c>
      <c r="C101" s="2125"/>
      <c r="D101" s="2125"/>
    </row>
    <row r="102" spans="2:19" s="51" customFormat="1" ht="15" x14ac:dyDescent="0.25">
      <c r="B102" s="51" t="s">
        <v>684</v>
      </c>
      <c r="C102" s="2125"/>
      <c r="D102" s="2125"/>
    </row>
    <row r="103" spans="2:19" s="51" customFormat="1" x14ac:dyDescent="0.2">
      <c r="C103" s="2125"/>
      <c r="D103" s="2125"/>
    </row>
    <row r="104" spans="2:19" s="51" customFormat="1" x14ac:dyDescent="0.2">
      <c r="C104" s="2125"/>
      <c r="D104" s="2125"/>
    </row>
    <row r="105" spans="2:19" s="51" customFormat="1" x14ac:dyDescent="0.2">
      <c r="C105" s="2125"/>
      <c r="D105" s="2125"/>
    </row>
    <row r="134" spans="2:3" x14ac:dyDescent="0.2">
      <c r="B134" s="313" t="s">
        <v>701</v>
      </c>
      <c r="C134" s="316" t="s">
        <v>702</v>
      </c>
    </row>
    <row r="135" spans="2:3" x14ac:dyDescent="0.2">
      <c r="B135" s="313" t="s">
        <v>703</v>
      </c>
      <c r="C135" s="316" t="e">
        <f>+#REF!</f>
        <v>#REF!</v>
      </c>
    </row>
    <row r="136" spans="2:3" x14ac:dyDescent="0.2">
      <c r="B136" s="313" t="s">
        <v>704</v>
      </c>
      <c r="C136" s="316" t="e">
        <f>+#REF!</f>
        <v>#REF!</v>
      </c>
    </row>
  </sheetData>
  <sheetProtection algorithmName="SHA-512" hashValue="G44Rol/HlZfApqlssxGzXMLZcrqL2o+bb8ynS4JIw4QvHJiAi7n8n2S1gTYPexokc4emtzx+qopt1q0QJS8B7Q==" saltValue="90wEqG2WqEx3TfsB/dUDNg==" spinCount="100000" sheet="1" objects="1" scenarios="1"/>
  <mergeCells count="12">
    <mergeCell ref="C98:F98"/>
    <mergeCell ref="B1:B2"/>
    <mergeCell ref="C4:D4"/>
    <mergeCell ref="C5:H5"/>
    <mergeCell ref="C6:D6"/>
    <mergeCell ref="C7:D7"/>
    <mergeCell ref="C1:R2"/>
    <mergeCell ref="J10:R10"/>
    <mergeCell ref="B92:B93"/>
    <mergeCell ref="C92:F93"/>
    <mergeCell ref="B95:B97"/>
    <mergeCell ref="C95:F97"/>
  </mergeCells>
  <conditionalFormatting sqref="G82">
    <cfRule type="cellIs" dxfId="253" priority="7" operator="equal">
      <formula>"INEXISTENTE"</formula>
    </cfRule>
    <cfRule type="cellIs" dxfId="252" priority="8" operator="equal">
      <formula>"INADECUADO"</formula>
    </cfRule>
    <cfRule type="cellIs" dxfId="251" priority="9" operator="equal">
      <formula>"PARCIALMENTE ADECUADO"</formula>
    </cfRule>
    <cfRule type="cellIs" dxfId="250" priority="10" operator="equal">
      <formula>"ADECUADO"</formula>
    </cfRule>
    <cfRule type="cellIs" dxfId="249" priority="11" operator="equal">
      <formula>"ERROR"</formula>
    </cfRule>
  </conditionalFormatting>
  <conditionalFormatting sqref="G95:S98">
    <cfRule type="cellIs" dxfId="248" priority="13" operator="equal">
      <formula>"INEXISTENTE"</formula>
    </cfRule>
  </conditionalFormatting>
  <conditionalFormatting sqref="K95:S98">
    <cfRule type="cellIs" dxfId="247" priority="14" operator="equal">
      <formula>"INEFICAZ"</formula>
    </cfRule>
    <cfRule type="cellIs" dxfId="246" priority="15" operator="equal">
      <formula>"CON DEFICIENCIAS"</formula>
    </cfRule>
    <cfRule type="cellIs" dxfId="245" priority="16" operator="equal">
      <formula>"EFICAZ"</formula>
    </cfRule>
    <cfRule type="cellIs" dxfId="244" priority="17" operator="equal">
      <formula>"CRÍTICO"</formula>
    </cfRule>
    <cfRule type="cellIs" dxfId="243" priority="18" operator="equal">
      <formula>"ALTO"</formula>
    </cfRule>
    <cfRule type="cellIs" dxfId="242" priority="19" operator="equal">
      <formula>"MEDIO"</formula>
    </cfRule>
    <cfRule type="cellIs" dxfId="241" priority="20" operator="equal">
      <formula>"BAJO"</formula>
    </cfRule>
  </conditionalFormatting>
  <conditionalFormatting sqref="G95:S98">
    <cfRule type="cellIs" dxfId="240" priority="22" operator="equal">
      <formula>"INADECUADO"</formula>
    </cfRule>
    <cfRule type="cellIs" dxfId="239" priority="23" operator="equal">
      <formula>"PARCIALMENTE ADECUADO"</formula>
    </cfRule>
    <cfRule type="cellIs" dxfId="238" priority="24" operator="equal">
      <formula>"ADECUADO"</formula>
    </cfRule>
    <cfRule type="cellIs" dxfId="237" priority="25" operator="equal">
      <formula>"ERROR"</formula>
    </cfRule>
  </conditionalFormatting>
  <conditionalFormatting sqref="C1">
    <cfRule type="cellIs" dxfId="236" priority="1" operator="equal">
      <formula>"ERROR"</formula>
    </cfRule>
  </conditionalFormatting>
  <conditionalFormatting sqref="S2">
    <cfRule type="cellIs" dxfId="235" priority="3" operator="equal">
      <formula>"INADECUADO"</formula>
    </cfRule>
    <cfRule type="cellIs" dxfId="234" priority="4" operator="equal">
      <formula>"PARCIALMENTE ADECUADO"</formula>
    </cfRule>
    <cfRule type="cellIs" dxfId="233" priority="5" operator="equal">
      <formula>"ADECUADO"</formula>
    </cfRule>
    <cfRule type="cellIs" dxfId="232" priority="6" operator="equal">
      <formula>"ERROR"</formula>
    </cfRule>
  </conditionalFormatting>
  <conditionalFormatting sqref="S2">
    <cfRule type="cellIs" dxfId="231" priority="2" operator="equal">
      <formula>"INEXISTENTE"</formula>
    </cfRule>
  </conditionalFormatting>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O72"/>
  <sheetViews>
    <sheetView zoomScaleNormal="100" workbookViewId="0">
      <selection activeCell="C6" sqref="C6:E6"/>
    </sheetView>
  </sheetViews>
  <sheetFormatPr baseColWidth="10" defaultColWidth="11.42578125" defaultRowHeight="12.75" x14ac:dyDescent="0.25"/>
  <cols>
    <col min="1" max="1" width="3.42578125" style="271" customWidth="1"/>
    <col min="2" max="2" width="23.7109375" style="271" customWidth="1"/>
    <col min="3" max="3" width="22.42578125" style="271" customWidth="1"/>
    <col min="4" max="4" width="29.7109375" style="271" customWidth="1"/>
    <col min="5" max="5" width="24" style="271" customWidth="1"/>
    <col min="6" max="6" width="28.42578125" style="271" customWidth="1"/>
    <col min="7" max="7" width="22.42578125" style="271" customWidth="1"/>
    <col min="8" max="8" width="18.140625" style="271" customWidth="1"/>
    <col min="9" max="9" width="18.7109375" style="271" customWidth="1"/>
    <col min="10" max="10" width="18.42578125" style="271" customWidth="1"/>
    <col min="11" max="12" width="23.42578125" style="271" customWidth="1"/>
    <col min="13" max="13" width="16.7109375" style="271" customWidth="1"/>
    <col min="14" max="14" width="21.7109375" style="271" customWidth="1"/>
    <col min="15" max="256" width="11.42578125" style="271"/>
    <col min="257" max="257" width="3.42578125" style="271" customWidth="1"/>
    <col min="258" max="258" width="23.7109375" style="271" customWidth="1"/>
    <col min="259" max="259" width="22.42578125" style="271" customWidth="1"/>
    <col min="260" max="260" width="25" style="271" customWidth="1"/>
    <col min="261" max="261" width="24" style="271" customWidth="1"/>
    <col min="262" max="262" width="28.42578125" style="271" customWidth="1"/>
    <col min="263" max="263" width="20.42578125" style="271" customWidth="1"/>
    <col min="264" max="264" width="18.140625" style="271" customWidth="1"/>
    <col min="265" max="265" width="18.7109375" style="271" customWidth="1"/>
    <col min="266" max="266" width="18.42578125" style="271" customWidth="1"/>
    <col min="267" max="267" width="19.28515625" style="271" customWidth="1"/>
    <col min="268" max="268" width="23.42578125" style="271" customWidth="1"/>
    <col min="269" max="269" width="16.7109375" style="271" customWidth="1"/>
    <col min="270" max="270" width="21.7109375" style="271" customWidth="1"/>
    <col min="271" max="512" width="11.42578125" style="271"/>
    <col min="513" max="513" width="3.42578125" style="271" customWidth="1"/>
    <col min="514" max="514" width="23.7109375" style="271" customWidth="1"/>
    <col min="515" max="515" width="22.42578125" style="271" customWidth="1"/>
    <col min="516" max="516" width="25" style="271" customWidth="1"/>
    <col min="517" max="517" width="24" style="271" customWidth="1"/>
    <col min="518" max="518" width="28.42578125" style="271" customWidth="1"/>
    <col min="519" max="519" width="20.42578125" style="271" customWidth="1"/>
    <col min="520" max="520" width="18.140625" style="271" customWidth="1"/>
    <col min="521" max="521" width="18.7109375" style="271" customWidth="1"/>
    <col min="522" max="522" width="18.42578125" style="271" customWidth="1"/>
    <col min="523" max="523" width="19.28515625" style="271" customWidth="1"/>
    <col min="524" max="524" width="23.42578125" style="271" customWidth="1"/>
    <col min="525" max="525" width="16.7109375" style="271" customWidth="1"/>
    <col min="526" max="526" width="21.7109375" style="271" customWidth="1"/>
    <col min="527" max="768" width="11.42578125" style="271"/>
    <col min="769" max="769" width="3.42578125" style="271" customWidth="1"/>
    <col min="770" max="770" width="23.7109375" style="271" customWidth="1"/>
    <col min="771" max="771" width="22.42578125" style="271" customWidth="1"/>
    <col min="772" max="772" width="25" style="271" customWidth="1"/>
    <col min="773" max="773" width="24" style="271" customWidth="1"/>
    <col min="774" max="774" width="28.42578125" style="271" customWidth="1"/>
    <col min="775" max="775" width="20.42578125" style="271" customWidth="1"/>
    <col min="776" max="776" width="18.140625" style="271" customWidth="1"/>
    <col min="777" max="777" width="18.7109375" style="271" customWidth="1"/>
    <col min="778" max="778" width="18.42578125" style="271" customWidth="1"/>
    <col min="779" max="779" width="19.28515625" style="271" customWidth="1"/>
    <col min="780" max="780" width="23.42578125" style="271" customWidth="1"/>
    <col min="781" max="781" width="16.7109375" style="271" customWidth="1"/>
    <col min="782" max="782" width="21.7109375" style="271" customWidth="1"/>
    <col min="783" max="1024" width="11.42578125" style="271"/>
    <col min="1025" max="1025" width="3.42578125" style="271" customWidth="1"/>
    <col min="1026" max="1026" width="23.7109375" style="271" customWidth="1"/>
    <col min="1027" max="1027" width="22.42578125" style="271" customWidth="1"/>
    <col min="1028" max="1028" width="25" style="271" customWidth="1"/>
    <col min="1029" max="1029" width="24" style="271" customWidth="1"/>
    <col min="1030" max="1030" width="28.42578125" style="271" customWidth="1"/>
    <col min="1031" max="1031" width="20.42578125" style="271" customWidth="1"/>
    <col min="1032" max="1032" width="18.140625" style="271" customWidth="1"/>
    <col min="1033" max="1033" width="18.7109375" style="271" customWidth="1"/>
    <col min="1034" max="1034" width="18.42578125" style="271" customWidth="1"/>
    <col min="1035" max="1035" width="19.28515625" style="271" customWidth="1"/>
    <col min="1036" max="1036" width="23.42578125" style="271" customWidth="1"/>
    <col min="1037" max="1037" width="16.7109375" style="271" customWidth="1"/>
    <col min="1038" max="1038" width="21.7109375" style="271" customWidth="1"/>
    <col min="1039" max="1280" width="11.42578125" style="271"/>
    <col min="1281" max="1281" width="3.42578125" style="271" customWidth="1"/>
    <col min="1282" max="1282" width="23.7109375" style="271" customWidth="1"/>
    <col min="1283" max="1283" width="22.42578125" style="271" customWidth="1"/>
    <col min="1284" max="1284" width="25" style="271" customWidth="1"/>
    <col min="1285" max="1285" width="24" style="271" customWidth="1"/>
    <col min="1286" max="1286" width="28.42578125" style="271" customWidth="1"/>
    <col min="1287" max="1287" width="20.42578125" style="271" customWidth="1"/>
    <col min="1288" max="1288" width="18.140625" style="271" customWidth="1"/>
    <col min="1289" max="1289" width="18.7109375" style="271" customWidth="1"/>
    <col min="1290" max="1290" width="18.42578125" style="271" customWidth="1"/>
    <col min="1291" max="1291" width="19.28515625" style="271" customWidth="1"/>
    <col min="1292" max="1292" width="23.42578125" style="271" customWidth="1"/>
    <col min="1293" max="1293" width="16.7109375" style="271" customWidth="1"/>
    <col min="1294" max="1294" width="21.7109375" style="271" customWidth="1"/>
    <col min="1295" max="1536" width="11.42578125" style="271"/>
    <col min="1537" max="1537" width="3.42578125" style="271" customWidth="1"/>
    <col min="1538" max="1538" width="23.7109375" style="271" customWidth="1"/>
    <col min="1539" max="1539" width="22.42578125" style="271" customWidth="1"/>
    <col min="1540" max="1540" width="25" style="271" customWidth="1"/>
    <col min="1541" max="1541" width="24" style="271" customWidth="1"/>
    <col min="1542" max="1542" width="28.42578125" style="271" customWidth="1"/>
    <col min="1543" max="1543" width="20.42578125" style="271" customWidth="1"/>
    <col min="1544" max="1544" width="18.140625" style="271" customWidth="1"/>
    <col min="1545" max="1545" width="18.7109375" style="271" customWidth="1"/>
    <col min="1546" max="1546" width="18.42578125" style="271" customWidth="1"/>
    <col min="1547" max="1547" width="19.28515625" style="271" customWidth="1"/>
    <col min="1548" max="1548" width="23.42578125" style="271" customWidth="1"/>
    <col min="1549" max="1549" width="16.7109375" style="271" customWidth="1"/>
    <col min="1550" max="1550" width="21.7109375" style="271" customWidth="1"/>
    <col min="1551" max="1792" width="11.42578125" style="271"/>
    <col min="1793" max="1793" width="3.42578125" style="271" customWidth="1"/>
    <col min="1794" max="1794" width="23.7109375" style="271" customWidth="1"/>
    <col min="1795" max="1795" width="22.42578125" style="271" customWidth="1"/>
    <col min="1796" max="1796" width="25" style="271" customWidth="1"/>
    <col min="1797" max="1797" width="24" style="271" customWidth="1"/>
    <col min="1798" max="1798" width="28.42578125" style="271" customWidth="1"/>
    <col min="1799" max="1799" width="20.42578125" style="271" customWidth="1"/>
    <col min="1800" max="1800" width="18.140625" style="271" customWidth="1"/>
    <col min="1801" max="1801" width="18.7109375" style="271" customWidth="1"/>
    <col min="1802" max="1802" width="18.42578125" style="271" customWidth="1"/>
    <col min="1803" max="1803" width="19.28515625" style="271" customWidth="1"/>
    <col min="1804" max="1804" width="23.42578125" style="271" customWidth="1"/>
    <col min="1805" max="1805" width="16.7109375" style="271" customWidth="1"/>
    <col min="1806" max="1806" width="21.7109375" style="271" customWidth="1"/>
    <col min="1807" max="2048" width="11.42578125" style="271"/>
    <col min="2049" max="2049" width="3.42578125" style="271" customWidth="1"/>
    <col min="2050" max="2050" width="23.7109375" style="271" customWidth="1"/>
    <col min="2051" max="2051" width="22.42578125" style="271" customWidth="1"/>
    <col min="2052" max="2052" width="25" style="271" customWidth="1"/>
    <col min="2053" max="2053" width="24" style="271" customWidth="1"/>
    <col min="2054" max="2054" width="28.42578125" style="271" customWidth="1"/>
    <col min="2055" max="2055" width="20.42578125" style="271" customWidth="1"/>
    <col min="2056" max="2056" width="18.140625" style="271" customWidth="1"/>
    <col min="2057" max="2057" width="18.7109375" style="271" customWidth="1"/>
    <col min="2058" max="2058" width="18.42578125" style="271" customWidth="1"/>
    <col min="2059" max="2059" width="19.28515625" style="271" customWidth="1"/>
    <col min="2060" max="2060" width="23.42578125" style="271" customWidth="1"/>
    <col min="2061" max="2061" width="16.7109375" style="271" customWidth="1"/>
    <col min="2062" max="2062" width="21.7109375" style="271" customWidth="1"/>
    <col min="2063" max="2304" width="11.42578125" style="271"/>
    <col min="2305" max="2305" width="3.42578125" style="271" customWidth="1"/>
    <col min="2306" max="2306" width="23.7109375" style="271" customWidth="1"/>
    <col min="2307" max="2307" width="22.42578125" style="271" customWidth="1"/>
    <col min="2308" max="2308" width="25" style="271" customWidth="1"/>
    <col min="2309" max="2309" width="24" style="271" customWidth="1"/>
    <col min="2310" max="2310" width="28.42578125" style="271" customWidth="1"/>
    <col min="2311" max="2311" width="20.42578125" style="271" customWidth="1"/>
    <col min="2312" max="2312" width="18.140625" style="271" customWidth="1"/>
    <col min="2313" max="2313" width="18.7109375" style="271" customWidth="1"/>
    <col min="2314" max="2314" width="18.42578125" style="271" customWidth="1"/>
    <col min="2315" max="2315" width="19.28515625" style="271" customWidth="1"/>
    <col min="2316" max="2316" width="23.42578125" style="271" customWidth="1"/>
    <col min="2317" max="2317" width="16.7109375" style="271" customWidth="1"/>
    <col min="2318" max="2318" width="21.7109375" style="271" customWidth="1"/>
    <col min="2319" max="2560" width="11.42578125" style="271"/>
    <col min="2561" max="2561" width="3.42578125" style="271" customWidth="1"/>
    <col min="2562" max="2562" width="23.7109375" style="271" customWidth="1"/>
    <col min="2563" max="2563" width="22.42578125" style="271" customWidth="1"/>
    <col min="2564" max="2564" width="25" style="271" customWidth="1"/>
    <col min="2565" max="2565" width="24" style="271" customWidth="1"/>
    <col min="2566" max="2566" width="28.42578125" style="271" customWidth="1"/>
    <col min="2567" max="2567" width="20.42578125" style="271" customWidth="1"/>
    <col min="2568" max="2568" width="18.140625" style="271" customWidth="1"/>
    <col min="2569" max="2569" width="18.7109375" style="271" customWidth="1"/>
    <col min="2570" max="2570" width="18.42578125" style="271" customWidth="1"/>
    <col min="2571" max="2571" width="19.28515625" style="271" customWidth="1"/>
    <col min="2572" max="2572" width="23.42578125" style="271" customWidth="1"/>
    <col min="2573" max="2573" width="16.7109375" style="271" customWidth="1"/>
    <col min="2574" max="2574" width="21.7109375" style="271" customWidth="1"/>
    <col min="2575" max="2816" width="11.42578125" style="271"/>
    <col min="2817" max="2817" width="3.42578125" style="271" customWidth="1"/>
    <col min="2818" max="2818" width="23.7109375" style="271" customWidth="1"/>
    <col min="2819" max="2819" width="22.42578125" style="271" customWidth="1"/>
    <col min="2820" max="2820" width="25" style="271" customWidth="1"/>
    <col min="2821" max="2821" width="24" style="271" customWidth="1"/>
    <col min="2822" max="2822" width="28.42578125" style="271" customWidth="1"/>
    <col min="2823" max="2823" width="20.42578125" style="271" customWidth="1"/>
    <col min="2824" max="2824" width="18.140625" style="271" customWidth="1"/>
    <col min="2825" max="2825" width="18.7109375" style="271" customWidth="1"/>
    <col min="2826" max="2826" width="18.42578125" style="271" customWidth="1"/>
    <col min="2827" max="2827" width="19.28515625" style="271" customWidth="1"/>
    <col min="2828" max="2828" width="23.42578125" style="271" customWidth="1"/>
    <col min="2829" max="2829" width="16.7109375" style="271" customWidth="1"/>
    <col min="2830" max="2830" width="21.7109375" style="271" customWidth="1"/>
    <col min="2831" max="3072" width="11.42578125" style="271"/>
    <col min="3073" max="3073" width="3.42578125" style="271" customWidth="1"/>
    <col min="3074" max="3074" width="23.7109375" style="271" customWidth="1"/>
    <col min="3075" max="3075" width="22.42578125" style="271" customWidth="1"/>
    <col min="3076" max="3076" width="25" style="271" customWidth="1"/>
    <col min="3077" max="3077" width="24" style="271" customWidth="1"/>
    <col min="3078" max="3078" width="28.42578125" style="271" customWidth="1"/>
    <col min="3079" max="3079" width="20.42578125" style="271" customWidth="1"/>
    <col min="3080" max="3080" width="18.140625" style="271" customWidth="1"/>
    <col min="3081" max="3081" width="18.7109375" style="271" customWidth="1"/>
    <col min="3082" max="3082" width="18.42578125" style="271" customWidth="1"/>
    <col min="3083" max="3083" width="19.28515625" style="271" customWidth="1"/>
    <col min="3084" max="3084" width="23.42578125" style="271" customWidth="1"/>
    <col min="3085" max="3085" width="16.7109375" style="271" customWidth="1"/>
    <col min="3086" max="3086" width="21.7109375" style="271" customWidth="1"/>
    <col min="3087" max="3328" width="11.42578125" style="271"/>
    <col min="3329" max="3329" width="3.42578125" style="271" customWidth="1"/>
    <col min="3330" max="3330" width="23.7109375" style="271" customWidth="1"/>
    <col min="3331" max="3331" width="22.42578125" style="271" customWidth="1"/>
    <col min="3332" max="3332" width="25" style="271" customWidth="1"/>
    <col min="3333" max="3333" width="24" style="271" customWidth="1"/>
    <col min="3334" max="3334" width="28.42578125" style="271" customWidth="1"/>
    <col min="3335" max="3335" width="20.42578125" style="271" customWidth="1"/>
    <col min="3336" max="3336" width="18.140625" style="271" customWidth="1"/>
    <col min="3337" max="3337" width="18.7109375" style="271" customWidth="1"/>
    <col min="3338" max="3338" width="18.42578125" style="271" customWidth="1"/>
    <col min="3339" max="3339" width="19.28515625" style="271" customWidth="1"/>
    <col min="3340" max="3340" width="23.42578125" style="271" customWidth="1"/>
    <col min="3341" max="3341" width="16.7109375" style="271" customWidth="1"/>
    <col min="3342" max="3342" width="21.7109375" style="271" customWidth="1"/>
    <col min="3343" max="3584" width="11.42578125" style="271"/>
    <col min="3585" max="3585" width="3.42578125" style="271" customWidth="1"/>
    <col min="3586" max="3586" width="23.7109375" style="271" customWidth="1"/>
    <col min="3587" max="3587" width="22.42578125" style="271" customWidth="1"/>
    <col min="3588" max="3588" width="25" style="271" customWidth="1"/>
    <col min="3589" max="3589" width="24" style="271" customWidth="1"/>
    <col min="3590" max="3590" width="28.42578125" style="271" customWidth="1"/>
    <col min="3591" max="3591" width="20.42578125" style="271" customWidth="1"/>
    <col min="3592" max="3592" width="18.140625" style="271" customWidth="1"/>
    <col min="3593" max="3593" width="18.7109375" style="271" customWidth="1"/>
    <col min="3594" max="3594" width="18.42578125" style="271" customWidth="1"/>
    <col min="3595" max="3595" width="19.28515625" style="271" customWidth="1"/>
    <col min="3596" max="3596" width="23.42578125" style="271" customWidth="1"/>
    <col min="3597" max="3597" width="16.7109375" style="271" customWidth="1"/>
    <col min="3598" max="3598" width="21.7109375" style="271" customWidth="1"/>
    <col min="3599" max="3840" width="11.42578125" style="271"/>
    <col min="3841" max="3841" width="3.42578125" style="271" customWidth="1"/>
    <col min="3842" max="3842" width="23.7109375" style="271" customWidth="1"/>
    <col min="3843" max="3843" width="22.42578125" style="271" customWidth="1"/>
    <col min="3844" max="3844" width="25" style="271" customWidth="1"/>
    <col min="3845" max="3845" width="24" style="271" customWidth="1"/>
    <col min="3846" max="3846" width="28.42578125" style="271" customWidth="1"/>
    <col min="3847" max="3847" width="20.42578125" style="271" customWidth="1"/>
    <col min="3848" max="3848" width="18.140625" style="271" customWidth="1"/>
    <col min="3849" max="3849" width="18.7109375" style="271" customWidth="1"/>
    <col min="3850" max="3850" width="18.42578125" style="271" customWidth="1"/>
    <col min="3851" max="3851" width="19.28515625" style="271" customWidth="1"/>
    <col min="3852" max="3852" width="23.42578125" style="271" customWidth="1"/>
    <col min="3853" max="3853" width="16.7109375" style="271" customWidth="1"/>
    <col min="3854" max="3854" width="21.7109375" style="271" customWidth="1"/>
    <col min="3855" max="4096" width="11.42578125" style="271"/>
    <col min="4097" max="4097" width="3.42578125" style="271" customWidth="1"/>
    <col min="4098" max="4098" width="23.7109375" style="271" customWidth="1"/>
    <col min="4099" max="4099" width="22.42578125" style="271" customWidth="1"/>
    <col min="4100" max="4100" width="25" style="271" customWidth="1"/>
    <col min="4101" max="4101" width="24" style="271" customWidth="1"/>
    <col min="4102" max="4102" width="28.42578125" style="271" customWidth="1"/>
    <col min="4103" max="4103" width="20.42578125" style="271" customWidth="1"/>
    <col min="4104" max="4104" width="18.140625" style="271" customWidth="1"/>
    <col min="4105" max="4105" width="18.7109375" style="271" customWidth="1"/>
    <col min="4106" max="4106" width="18.42578125" style="271" customWidth="1"/>
    <col min="4107" max="4107" width="19.28515625" style="271" customWidth="1"/>
    <col min="4108" max="4108" width="23.42578125" style="271" customWidth="1"/>
    <col min="4109" max="4109" width="16.7109375" style="271" customWidth="1"/>
    <col min="4110" max="4110" width="21.7109375" style="271" customWidth="1"/>
    <col min="4111" max="4352" width="11.42578125" style="271"/>
    <col min="4353" max="4353" width="3.42578125" style="271" customWidth="1"/>
    <col min="4354" max="4354" width="23.7109375" style="271" customWidth="1"/>
    <col min="4355" max="4355" width="22.42578125" style="271" customWidth="1"/>
    <col min="4356" max="4356" width="25" style="271" customWidth="1"/>
    <col min="4357" max="4357" width="24" style="271" customWidth="1"/>
    <col min="4358" max="4358" width="28.42578125" style="271" customWidth="1"/>
    <col min="4359" max="4359" width="20.42578125" style="271" customWidth="1"/>
    <col min="4360" max="4360" width="18.140625" style="271" customWidth="1"/>
    <col min="4361" max="4361" width="18.7109375" style="271" customWidth="1"/>
    <col min="4362" max="4362" width="18.42578125" style="271" customWidth="1"/>
    <col min="4363" max="4363" width="19.28515625" style="271" customWidth="1"/>
    <col min="4364" max="4364" width="23.42578125" style="271" customWidth="1"/>
    <col min="4365" max="4365" width="16.7109375" style="271" customWidth="1"/>
    <col min="4366" max="4366" width="21.7109375" style="271" customWidth="1"/>
    <col min="4367" max="4608" width="11.42578125" style="271"/>
    <col min="4609" max="4609" width="3.42578125" style="271" customWidth="1"/>
    <col min="4610" max="4610" width="23.7109375" style="271" customWidth="1"/>
    <col min="4611" max="4611" width="22.42578125" style="271" customWidth="1"/>
    <col min="4612" max="4612" width="25" style="271" customWidth="1"/>
    <col min="4613" max="4613" width="24" style="271" customWidth="1"/>
    <col min="4614" max="4614" width="28.42578125" style="271" customWidth="1"/>
    <col min="4615" max="4615" width="20.42578125" style="271" customWidth="1"/>
    <col min="4616" max="4616" width="18.140625" style="271" customWidth="1"/>
    <col min="4617" max="4617" width="18.7109375" style="271" customWidth="1"/>
    <col min="4618" max="4618" width="18.42578125" style="271" customWidth="1"/>
    <col min="4619" max="4619" width="19.28515625" style="271" customWidth="1"/>
    <col min="4620" max="4620" width="23.42578125" style="271" customWidth="1"/>
    <col min="4621" max="4621" width="16.7109375" style="271" customWidth="1"/>
    <col min="4622" max="4622" width="21.7109375" style="271" customWidth="1"/>
    <col min="4623" max="4864" width="11.42578125" style="271"/>
    <col min="4865" max="4865" width="3.42578125" style="271" customWidth="1"/>
    <col min="4866" max="4866" width="23.7109375" style="271" customWidth="1"/>
    <col min="4867" max="4867" width="22.42578125" style="271" customWidth="1"/>
    <col min="4868" max="4868" width="25" style="271" customWidth="1"/>
    <col min="4869" max="4869" width="24" style="271" customWidth="1"/>
    <col min="4870" max="4870" width="28.42578125" style="271" customWidth="1"/>
    <col min="4871" max="4871" width="20.42578125" style="271" customWidth="1"/>
    <col min="4872" max="4872" width="18.140625" style="271" customWidth="1"/>
    <col min="4873" max="4873" width="18.7109375" style="271" customWidth="1"/>
    <col min="4874" max="4874" width="18.42578125" style="271" customWidth="1"/>
    <col min="4875" max="4875" width="19.28515625" style="271" customWidth="1"/>
    <col min="4876" max="4876" width="23.42578125" style="271" customWidth="1"/>
    <col min="4877" max="4877" width="16.7109375" style="271" customWidth="1"/>
    <col min="4878" max="4878" width="21.7109375" style="271" customWidth="1"/>
    <col min="4879" max="5120" width="11.42578125" style="271"/>
    <col min="5121" max="5121" width="3.42578125" style="271" customWidth="1"/>
    <col min="5122" max="5122" width="23.7109375" style="271" customWidth="1"/>
    <col min="5123" max="5123" width="22.42578125" style="271" customWidth="1"/>
    <col min="5124" max="5124" width="25" style="271" customWidth="1"/>
    <col min="5125" max="5125" width="24" style="271" customWidth="1"/>
    <col min="5126" max="5126" width="28.42578125" style="271" customWidth="1"/>
    <col min="5127" max="5127" width="20.42578125" style="271" customWidth="1"/>
    <col min="5128" max="5128" width="18.140625" style="271" customWidth="1"/>
    <col min="5129" max="5129" width="18.7109375" style="271" customWidth="1"/>
    <col min="5130" max="5130" width="18.42578125" style="271" customWidth="1"/>
    <col min="5131" max="5131" width="19.28515625" style="271" customWidth="1"/>
    <col min="5132" max="5132" width="23.42578125" style="271" customWidth="1"/>
    <col min="5133" max="5133" width="16.7109375" style="271" customWidth="1"/>
    <col min="5134" max="5134" width="21.7109375" style="271" customWidth="1"/>
    <col min="5135" max="5376" width="11.42578125" style="271"/>
    <col min="5377" max="5377" width="3.42578125" style="271" customWidth="1"/>
    <col min="5378" max="5378" width="23.7109375" style="271" customWidth="1"/>
    <col min="5379" max="5379" width="22.42578125" style="271" customWidth="1"/>
    <col min="5380" max="5380" width="25" style="271" customWidth="1"/>
    <col min="5381" max="5381" width="24" style="271" customWidth="1"/>
    <col min="5382" max="5382" width="28.42578125" style="271" customWidth="1"/>
    <col min="5383" max="5383" width="20.42578125" style="271" customWidth="1"/>
    <col min="5384" max="5384" width="18.140625" style="271" customWidth="1"/>
    <col min="5385" max="5385" width="18.7109375" style="271" customWidth="1"/>
    <col min="5386" max="5386" width="18.42578125" style="271" customWidth="1"/>
    <col min="5387" max="5387" width="19.28515625" style="271" customWidth="1"/>
    <col min="5388" max="5388" width="23.42578125" style="271" customWidth="1"/>
    <col min="5389" max="5389" width="16.7109375" style="271" customWidth="1"/>
    <col min="5390" max="5390" width="21.7109375" style="271" customWidth="1"/>
    <col min="5391" max="5632" width="11.42578125" style="271"/>
    <col min="5633" max="5633" width="3.42578125" style="271" customWidth="1"/>
    <col min="5634" max="5634" width="23.7109375" style="271" customWidth="1"/>
    <col min="5635" max="5635" width="22.42578125" style="271" customWidth="1"/>
    <col min="5636" max="5636" width="25" style="271" customWidth="1"/>
    <col min="5637" max="5637" width="24" style="271" customWidth="1"/>
    <col min="5638" max="5638" width="28.42578125" style="271" customWidth="1"/>
    <col min="5639" max="5639" width="20.42578125" style="271" customWidth="1"/>
    <col min="5640" max="5640" width="18.140625" style="271" customWidth="1"/>
    <col min="5641" max="5641" width="18.7109375" style="271" customWidth="1"/>
    <col min="5642" max="5642" width="18.42578125" style="271" customWidth="1"/>
    <col min="5643" max="5643" width="19.28515625" style="271" customWidth="1"/>
    <col min="5644" max="5644" width="23.42578125" style="271" customWidth="1"/>
    <col min="5645" max="5645" width="16.7109375" style="271" customWidth="1"/>
    <col min="5646" max="5646" width="21.7109375" style="271" customWidth="1"/>
    <col min="5647" max="5888" width="11.42578125" style="271"/>
    <col min="5889" max="5889" width="3.42578125" style="271" customWidth="1"/>
    <col min="5890" max="5890" width="23.7109375" style="271" customWidth="1"/>
    <col min="5891" max="5891" width="22.42578125" style="271" customWidth="1"/>
    <col min="5892" max="5892" width="25" style="271" customWidth="1"/>
    <col min="5893" max="5893" width="24" style="271" customWidth="1"/>
    <col min="5894" max="5894" width="28.42578125" style="271" customWidth="1"/>
    <col min="5895" max="5895" width="20.42578125" style="271" customWidth="1"/>
    <col min="5896" max="5896" width="18.140625" style="271" customWidth="1"/>
    <col min="5897" max="5897" width="18.7109375" style="271" customWidth="1"/>
    <col min="5898" max="5898" width="18.42578125" style="271" customWidth="1"/>
    <col min="5899" max="5899" width="19.28515625" style="271" customWidth="1"/>
    <col min="5900" max="5900" width="23.42578125" style="271" customWidth="1"/>
    <col min="5901" max="5901" width="16.7109375" style="271" customWidth="1"/>
    <col min="5902" max="5902" width="21.7109375" style="271" customWidth="1"/>
    <col min="5903" max="6144" width="11.42578125" style="271"/>
    <col min="6145" max="6145" width="3.42578125" style="271" customWidth="1"/>
    <col min="6146" max="6146" width="23.7109375" style="271" customWidth="1"/>
    <col min="6147" max="6147" width="22.42578125" style="271" customWidth="1"/>
    <col min="6148" max="6148" width="25" style="271" customWidth="1"/>
    <col min="6149" max="6149" width="24" style="271" customWidth="1"/>
    <col min="6150" max="6150" width="28.42578125" style="271" customWidth="1"/>
    <col min="6151" max="6151" width="20.42578125" style="271" customWidth="1"/>
    <col min="6152" max="6152" width="18.140625" style="271" customWidth="1"/>
    <col min="6153" max="6153" width="18.7109375" style="271" customWidth="1"/>
    <col min="6154" max="6154" width="18.42578125" style="271" customWidth="1"/>
    <col min="6155" max="6155" width="19.28515625" style="271" customWidth="1"/>
    <col min="6156" max="6156" width="23.42578125" style="271" customWidth="1"/>
    <col min="6157" max="6157" width="16.7109375" style="271" customWidth="1"/>
    <col min="6158" max="6158" width="21.7109375" style="271" customWidth="1"/>
    <col min="6159" max="6400" width="11.42578125" style="271"/>
    <col min="6401" max="6401" width="3.42578125" style="271" customWidth="1"/>
    <col min="6402" max="6402" width="23.7109375" style="271" customWidth="1"/>
    <col min="6403" max="6403" width="22.42578125" style="271" customWidth="1"/>
    <col min="6404" max="6404" width="25" style="271" customWidth="1"/>
    <col min="6405" max="6405" width="24" style="271" customWidth="1"/>
    <col min="6406" max="6406" width="28.42578125" style="271" customWidth="1"/>
    <col min="6407" max="6407" width="20.42578125" style="271" customWidth="1"/>
    <col min="6408" max="6408" width="18.140625" style="271" customWidth="1"/>
    <col min="6409" max="6409" width="18.7109375" style="271" customWidth="1"/>
    <col min="6410" max="6410" width="18.42578125" style="271" customWidth="1"/>
    <col min="6411" max="6411" width="19.28515625" style="271" customWidth="1"/>
    <col min="6412" max="6412" width="23.42578125" style="271" customWidth="1"/>
    <col min="6413" max="6413" width="16.7109375" style="271" customWidth="1"/>
    <col min="6414" max="6414" width="21.7109375" style="271" customWidth="1"/>
    <col min="6415" max="6656" width="11.42578125" style="271"/>
    <col min="6657" max="6657" width="3.42578125" style="271" customWidth="1"/>
    <col min="6658" max="6658" width="23.7109375" style="271" customWidth="1"/>
    <col min="6659" max="6659" width="22.42578125" style="271" customWidth="1"/>
    <col min="6660" max="6660" width="25" style="271" customWidth="1"/>
    <col min="6661" max="6661" width="24" style="271" customWidth="1"/>
    <col min="6662" max="6662" width="28.42578125" style="271" customWidth="1"/>
    <col min="6663" max="6663" width="20.42578125" style="271" customWidth="1"/>
    <col min="6664" max="6664" width="18.140625" style="271" customWidth="1"/>
    <col min="6665" max="6665" width="18.7109375" style="271" customWidth="1"/>
    <col min="6666" max="6666" width="18.42578125" style="271" customWidth="1"/>
    <col min="6667" max="6667" width="19.28515625" style="271" customWidth="1"/>
    <col min="6668" max="6668" width="23.42578125" style="271" customWidth="1"/>
    <col min="6669" max="6669" width="16.7109375" style="271" customWidth="1"/>
    <col min="6670" max="6670" width="21.7109375" style="271" customWidth="1"/>
    <col min="6671" max="6912" width="11.42578125" style="271"/>
    <col min="6913" max="6913" width="3.42578125" style="271" customWidth="1"/>
    <col min="6914" max="6914" width="23.7109375" style="271" customWidth="1"/>
    <col min="6915" max="6915" width="22.42578125" style="271" customWidth="1"/>
    <col min="6916" max="6916" width="25" style="271" customWidth="1"/>
    <col min="6917" max="6917" width="24" style="271" customWidth="1"/>
    <col min="6918" max="6918" width="28.42578125" style="271" customWidth="1"/>
    <col min="6919" max="6919" width="20.42578125" style="271" customWidth="1"/>
    <col min="6920" max="6920" width="18.140625" style="271" customWidth="1"/>
    <col min="6921" max="6921" width="18.7109375" style="271" customWidth="1"/>
    <col min="6922" max="6922" width="18.42578125" style="271" customWidth="1"/>
    <col min="6923" max="6923" width="19.28515625" style="271" customWidth="1"/>
    <col min="6924" max="6924" width="23.42578125" style="271" customWidth="1"/>
    <col min="6925" max="6925" width="16.7109375" style="271" customWidth="1"/>
    <col min="6926" max="6926" width="21.7109375" style="271" customWidth="1"/>
    <col min="6927" max="7168" width="11.42578125" style="271"/>
    <col min="7169" max="7169" width="3.42578125" style="271" customWidth="1"/>
    <col min="7170" max="7170" width="23.7109375" style="271" customWidth="1"/>
    <col min="7171" max="7171" width="22.42578125" style="271" customWidth="1"/>
    <col min="7172" max="7172" width="25" style="271" customWidth="1"/>
    <col min="7173" max="7173" width="24" style="271" customWidth="1"/>
    <col min="7174" max="7174" width="28.42578125" style="271" customWidth="1"/>
    <col min="7175" max="7175" width="20.42578125" style="271" customWidth="1"/>
    <col min="7176" max="7176" width="18.140625" style="271" customWidth="1"/>
    <col min="7177" max="7177" width="18.7109375" style="271" customWidth="1"/>
    <col min="7178" max="7178" width="18.42578125" style="271" customWidth="1"/>
    <col min="7179" max="7179" width="19.28515625" style="271" customWidth="1"/>
    <col min="7180" max="7180" width="23.42578125" style="271" customWidth="1"/>
    <col min="7181" max="7181" width="16.7109375" style="271" customWidth="1"/>
    <col min="7182" max="7182" width="21.7109375" style="271" customWidth="1"/>
    <col min="7183" max="7424" width="11.42578125" style="271"/>
    <col min="7425" max="7425" width="3.42578125" style="271" customWidth="1"/>
    <col min="7426" max="7426" width="23.7109375" style="271" customWidth="1"/>
    <col min="7427" max="7427" width="22.42578125" style="271" customWidth="1"/>
    <col min="7428" max="7428" width="25" style="271" customWidth="1"/>
    <col min="7429" max="7429" width="24" style="271" customWidth="1"/>
    <col min="7430" max="7430" width="28.42578125" style="271" customWidth="1"/>
    <col min="7431" max="7431" width="20.42578125" style="271" customWidth="1"/>
    <col min="7432" max="7432" width="18.140625" style="271" customWidth="1"/>
    <col min="7433" max="7433" width="18.7109375" style="271" customWidth="1"/>
    <col min="7434" max="7434" width="18.42578125" style="271" customWidth="1"/>
    <col min="7435" max="7435" width="19.28515625" style="271" customWidth="1"/>
    <col min="7436" max="7436" width="23.42578125" style="271" customWidth="1"/>
    <col min="7437" max="7437" width="16.7109375" style="271" customWidth="1"/>
    <col min="7438" max="7438" width="21.7109375" style="271" customWidth="1"/>
    <col min="7439" max="7680" width="11.42578125" style="271"/>
    <col min="7681" max="7681" width="3.42578125" style="271" customWidth="1"/>
    <col min="7682" max="7682" width="23.7109375" style="271" customWidth="1"/>
    <col min="7683" max="7683" width="22.42578125" style="271" customWidth="1"/>
    <col min="7684" max="7684" width="25" style="271" customWidth="1"/>
    <col min="7685" max="7685" width="24" style="271" customWidth="1"/>
    <col min="7686" max="7686" width="28.42578125" style="271" customWidth="1"/>
    <col min="7687" max="7687" width="20.42578125" style="271" customWidth="1"/>
    <col min="7688" max="7688" width="18.140625" style="271" customWidth="1"/>
    <col min="7689" max="7689" width="18.7109375" style="271" customWidth="1"/>
    <col min="7690" max="7690" width="18.42578125" style="271" customWidth="1"/>
    <col min="7691" max="7691" width="19.28515625" style="271" customWidth="1"/>
    <col min="7692" max="7692" width="23.42578125" style="271" customWidth="1"/>
    <col min="7693" max="7693" width="16.7109375" style="271" customWidth="1"/>
    <col min="7694" max="7694" width="21.7109375" style="271" customWidth="1"/>
    <col min="7695" max="7936" width="11.42578125" style="271"/>
    <col min="7937" max="7937" width="3.42578125" style="271" customWidth="1"/>
    <col min="7938" max="7938" width="23.7109375" style="271" customWidth="1"/>
    <col min="7939" max="7939" width="22.42578125" style="271" customWidth="1"/>
    <col min="7940" max="7940" width="25" style="271" customWidth="1"/>
    <col min="7941" max="7941" width="24" style="271" customWidth="1"/>
    <col min="7942" max="7942" width="28.42578125" style="271" customWidth="1"/>
    <col min="7943" max="7943" width="20.42578125" style="271" customWidth="1"/>
    <col min="7944" max="7944" width="18.140625" style="271" customWidth="1"/>
    <col min="7945" max="7945" width="18.7109375" style="271" customWidth="1"/>
    <col min="7946" max="7946" width="18.42578125" style="271" customWidth="1"/>
    <col min="7947" max="7947" width="19.28515625" style="271" customWidth="1"/>
    <col min="7948" max="7948" width="23.42578125" style="271" customWidth="1"/>
    <col min="7949" max="7949" width="16.7109375" style="271" customWidth="1"/>
    <col min="7950" max="7950" width="21.7109375" style="271" customWidth="1"/>
    <col min="7951" max="8192" width="11.42578125" style="271"/>
    <col min="8193" max="8193" width="3.42578125" style="271" customWidth="1"/>
    <col min="8194" max="8194" width="23.7109375" style="271" customWidth="1"/>
    <col min="8195" max="8195" width="22.42578125" style="271" customWidth="1"/>
    <col min="8196" max="8196" width="25" style="271" customWidth="1"/>
    <col min="8197" max="8197" width="24" style="271" customWidth="1"/>
    <col min="8198" max="8198" width="28.42578125" style="271" customWidth="1"/>
    <col min="8199" max="8199" width="20.42578125" style="271" customWidth="1"/>
    <col min="8200" max="8200" width="18.140625" style="271" customWidth="1"/>
    <col min="8201" max="8201" width="18.7109375" style="271" customWidth="1"/>
    <col min="8202" max="8202" width="18.42578125" style="271" customWidth="1"/>
    <col min="8203" max="8203" width="19.28515625" style="271" customWidth="1"/>
    <col min="8204" max="8204" width="23.42578125" style="271" customWidth="1"/>
    <col min="8205" max="8205" width="16.7109375" style="271" customWidth="1"/>
    <col min="8206" max="8206" width="21.7109375" style="271" customWidth="1"/>
    <col min="8207" max="8448" width="11.42578125" style="271"/>
    <col min="8449" max="8449" width="3.42578125" style="271" customWidth="1"/>
    <col min="8450" max="8450" width="23.7109375" style="271" customWidth="1"/>
    <col min="8451" max="8451" width="22.42578125" style="271" customWidth="1"/>
    <col min="8452" max="8452" width="25" style="271" customWidth="1"/>
    <col min="8453" max="8453" width="24" style="271" customWidth="1"/>
    <col min="8454" max="8454" width="28.42578125" style="271" customWidth="1"/>
    <col min="8455" max="8455" width="20.42578125" style="271" customWidth="1"/>
    <col min="8456" max="8456" width="18.140625" style="271" customWidth="1"/>
    <col min="8457" max="8457" width="18.7109375" style="271" customWidth="1"/>
    <col min="8458" max="8458" width="18.42578125" style="271" customWidth="1"/>
    <col min="8459" max="8459" width="19.28515625" style="271" customWidth="1"/>
    <col min="8460" max="8460" width="23.42578125" style="271" customWidth="1"/>
    <col min="8461" max="8461" width="16.7109375" style="271" customWidth="1"/>
    <col min="8462" max="8462" width="21.7109375" style="271" customWidth="1"/>
    <col min="8463" max="8704" width="11.42578125" style="271"/>
    <col min="8705" max="8705" width="3.42578125" style="271" customWidth="1"/>
    <col min="8706" max="8706" width="23.7109375" style="271" customWidth="1"/>
    <col min="8707" max="8707" width="22.42578125" style="271" customWidth="1"/>
    <col min="8708" max="8708" width="25" style="271" customWidth="1"/>
    <col min="8709" max="8709" width="24" style="271" customWidth="1"/>
    <col min="8710" max="8710" width="28.42578125" style="271" customWidth="1"/>
    <col min="8711" max="8711" width="20.42578125" style="271" customWidth="1"/>
    <col min="8712" max="8712" width="18.140625" style="271" customWidth="1"/>
    <col min="8713" max="8713" width="18.7109375" style="271" customWidth="1"/>
    <col min="8714" max="8714" width="18.42578125" style="271" customWidth="1"/>
    <col min="8715" max="8715" width="19.28515625" style="271" customWidth="1"/>
    <col min="8716" max="8716" width="23.42578125" style="271" customWidth="1"/>
    <col min="8717" max="8717" width="16.7109375" style="271" customWidth="1"/>
    <col min="8718" max="8718" width="21.7109375" style="271" customWidth="1"/>
    <col min="8719" max="8960" width="11.42578125" style="271"/>
    <col min="8961" max="8961" width="3.42578125" style="271" customWidth="1"/>
    <col min="8962" max="8962" width="23.7109375" style="271" customWidth="1"/>
    <col min="8963" max="8963" width="22.42578125" style="271" customWidth="1"/>
    <col min="8964" max="8964" width="25" style="271" customWidth="1"/>
    <col min="8965" max="8965" width="24" style="271" customWidth="1"/>
    <col min="8966" max="8966" width="28.42578125" style="271" customWidth="1"/>
    <col min="8967" max="8967" width="20.42578125" style="271" customWidth="1"/>
    <col min="8968" max="8968" width="18.140625" style="271" customWidth="1"/>
    <col min="8969" max="8969" width="18.7109375" style="271" customWidth="1"/>
    <col min="8970" max="8970" width="18.42578125" style="271" customWidth="1"/>
    <col min="8971" max="8971" width="19.28515625" style="271" customWidth="1"/>
    <col min="8972" max="8972" width="23.42578125" style="271" customWidth="1"/>
    <col min="8973" max="8973" width="16.7109375" style="271" customWidth="1"/>
    <col min="8974" max="8974" width="21.7109375" style="271" customWidth="1"/>
    <col min="8975" max="9216" width="11.42578125" style="271"/>
    <col min="9217" max="9217" width="3.42578125" style="271" customWidth="1"/>
    <col min="9218" max="9218" width="23.7109375" style="271" customWidth="1"/>
    <col min="9219" max="9219" width="22.42578125" style="271" customWidth="1"/>
    <col min="9220" max="9220" width="25" style="271" customWidth="1"/>
    <col min="9221" max="9221" width="24" style="271" customWidth="1"/>
    <col min="9222" max="9222" width="28.42578125" style="271" customWidth="1"/>
    <col min="9223" max="9223" width="20.42578125" style="271" customWidth="1"/>
    <col min="9224" max="9224" width="18.140625" style="271" customWidth="1"/>
    <col min="9225" max="9225" width="18.7109375" style="271" customWidth="1"/>
    <col min="9226" max="9226" width="18.42578125" style="271" customWidth="1"/>
    <col min="9227" max="9227" width="19.28515625" style="271" customWidth="1"/>
    <col min="9228" max="9228" width="23.42578125" style="271" customWidth="1"/>
    <col min="9229" max="9229" width="16.7109375" style="271" customWidth="1"/>
    <col min="9230" max="9230" width="21.7109375" style="271" customWidth="1"/>
    <col min="9231" max="9472" width="11.42578125" style="271"/>
    <col min="9473" max="9473" width="3.42578125" style="271" customWidth="1"/>
    <col min="9474" max="9474" width="23.7109375" style="271" customWidth="1"/>
    <col min="9475" max="9475" width="22.42578125" style="271" customWidth="1"/>
    <col min="9476" max="9476" width="25" style="271" customWidth="1"/>
    <col min="9477" max="9477" width="24" style="271" customWidth="1"/>
    <col min="9478" max="9478" width="28.42578125" style="271" customWidth="1"/>
    <col min="9479" max="9479" width="20.42578125" style="271" customWidth="1"/>
    <col min="9480" max="9480" width="18.140625" style="271" customWidth="1"/>
    <col min="9481" max="9481" width="18.7109375" style="271" customWidth="1"/>
    <col min="9482" max="9482" width="18.42578125" style="271" customWidth="1"/>
    <col min="9483" max="9483" width="19.28515625" style="271" customWidth="1"/>
    <col min="9484" max="9484" width="23.42578125" style="271" customWidth="1"/>
    <col min="9485" max="9485" width="16.7109375" style="271" customWidth="1"/>
    <col min="9486" max="9486" width="21.7109375" style="271" customWidth="1"/>
    <col min="9487" max="9728" width="11.42578125" style="271"/>
    <col min="9729" max="9729" width="3.42578125" style="271" customWidth="1"/>
    <col min="9730" max="9730" width="23.7109375" style="271" customWidth="1"/>
    <col min="9731" max="9731" width="22.42578125" style="271" customWidth="1"/>
    <col min="9732" max="9732" width="25" style="271" customWidth="1"/>
    <col min="9733" max="9733" width="24" style="271" customWidth="1"/>
    <col min="9734" max="9734" width="28.42578125" style="271" customWidth="1"/>
    <col min="9735" max="9735" width="20.42578125" style="271" customWidth="1"/>
    <col min="9736" max="9736" width="18.140625" style="271" customWidth="1"/>
    <col min="9737" max="9737" width="18.7109375" style="271" customWidth="1"/>
    <col min="9738" max="9738" width="18.42578125" style="271" customWidth="1"/>
    <col min="9739" max="9739" width="19.28515625" style="271" customWidth="1"/>
    <col min="9740" max="9740" width="23.42578125" style="271" customWidth="1"/>
    <col min="9741" max="9741" width="16.7109375" style="271" customWidth="1"/>
    <col min="9742" max="9742" width="21.7109375" style="271" customWidth="1"/>
    <col min="9743" max="9984" width="11.42578125" style="271"/>
    <col min="9985" max="9985" width="3.42578125" style="271" customWidth="1"/>
    <col min="9986" max="9986" width="23.7109375" style="271" customWidth="1"/>
    <col min="9987" max="9987" width="22.42578125" style="271" customWidth="1"/>
    <col min="9988" max="9988" width="25" style="271" customWidth="1"/>
    <col min="9989" max="9989" width="24" style="271" customWidth="1"/>
    <col min="9990" max="9990" width="28.42578125" style="271" customWidth="1"/>
    <col min="9991" max="9991" width="20.42578125" style="271" customWidth="1"/>
    <col min="9992" max="9992" width="18.140625" style="271" customWidth="1"/>
    <col min="9993" max="9993" width="18.7109375" style="271" customWidth="1"/>
    <col min="9994" max="9994" width="18.42578125" style="271" customWidth="1"/>
    <col min="9995" max="9995" width="19.28515625" style="271" customWidth="1"/>
    <col min="9996" max="9996" width="23.42578125" style="271" customWidth="1"/>
    <col min="9997" max="9997" width="16.7109375" style="271" customWidth="1"/>
    <col min="9998" max="9998" width="21.7109375" style="271" customWidth="1"/>
    <col min="9999" max="10240" width="11.42578125" style="271"/>
    <col min="10241" max="10241" width="3.42578125" style="271" customWidth="1"/>
    <col min="10242" max="10242" width="23.7109375" style="271" customWidth="1"/>
    <col min="10243" max="10243" width="22.42578125" style="271" customWidth="1"/>
    <col min="10244" max="10244" width="25" style="271" customWidth="1"/>
    <col min="10245" max="10245" width="24" style="271" customWidth="1"/>
    <col min="10246" max="10246" width="28.42578125" style="271" customWidth="1"/>
    <col min="10247" max="10247" width="20.42578125" style="271" customWidth="1"/>
    <col min="10248" max="10248" width="18.140625" style="271" customWidth="1"/>
    <col min="10249" max="10249" width="18.7109375" style="271" customWidth="1"/>
    <col min="10250" max="10250" width="18.42578125" style="271" customWidth="1"/>
    <col min="10251" max="10251" width="19.28515625" style="271" customWidth="1"/>
    <col min="10252" max="10252" width="23.42578125" style="271" customWidth="1"/>
    <col min="10253" max="10253" width="16.7109375" style="271" customWidth="1"/>
    <col min="10254" max="10254" width="21.7109375" style="271" customWidth="1"/>
    <col min="10255" max="10496" width="11.42578125" style="271"/>
    <col min="10497" max="10497" width="3.42578125" style="271" customWidth="1"/>
    <col min="10498" max="10498" width="23.7109375" style="271" customWidth="1"/>
    <col min="10499" max="10499" width="22.42578125" style="271" customWidth="1"/>
    <col min="10500" max="10500" width="25" style="271" customWidth="1"/>
    <col min="10501" max="10501" width="24" style="271" customWidth="1"/>
    <col min="10502" max="10502" width="28.42578125" style="271" customWidth="1"/>
    <col min="10503" max="10503" width="20.42578125" style="271" customWidth="1"/>
    <col min="10504" max="10504" width="18.140625" style="271" customWidth="1"/>
    <col min="10505" max="10505" width="18.7109375" style="271" customWidth="1"/>
    <col min="10506" max="10506" width="18.42578125" style="271" customWidth="1"/>
    <col min="10507" max="10507" width="19.28515625" style="271" customWidth="1"/>
    <col min="10508" max="10508" width="23.42578125" style="271" customWidth="1"/>
    <col min="10509" max="10509" width="16.7109375" style="271" customWidth="1"/>
    <col min="10510" max="10510" width="21.7109375" style="271" customWidth="1"/>
    <col min="10511" max="10752" width="11.42578125" style="271"/>
    <col min="10753" max="10753" width="3.42578125" style="271" customWidth="1"/>
    <col min="10754" max="10754" width="23.7109375" style="271" customWidth="1"/>
    <col min="10755" max="10755" width="22.42578125" style="271" customWidth="1"/>
    <col min="10756" max="10756" width="25" style="271" customWidth="1"/>
    <col min="10757" max="10757" width="24" style="271" customWidth="1"/>
    <col min="10758" max="10758" width="28.42578125" style="271" customWidth="1"/>
    <col min="10759" max="10759" width="20.42578125" style="271" customWidth="1"/>
    <col min="10760" max="10760" width="18.140625" style="271" customWidth="1"/>
    <col min="10761" max="10761" width="18.7109375" style="271" customWidth="1"/>
    <col min="10762" max="10762" width="18.42578125" style="271" customWidth="1"/>
    <col min="10763" max="10763" width="19.28515625" style="271" customWidth="1"/>
    <col min="10764" max="10764" width="23.42578125" style="271" customWidth="1"/>
    <col min="10765" max="10765" width="16.7109375" style="271" customWidth="1"/>
    <col min="10766" max="10766" width="21.7109375" style="271" customWidth="1"/>
    <col min="10767" max="11008" width="11.42578125" style="271"/>
    <col min="11009" max="11009" width="3.42578125" style="271" customWidth="1"/>
    <col min="11010" max="11010" width="23.7109375" style="271" customWidth="1"/>
    <col min="11011" max="11011" width="22.42578125" style="271" customWidth="1"/>
    <col min="11012" max="11012" width="25" style="271" customWidth="1"/>
    <col min="11013" max="11013" width="24" style="271" customWidth="1"/>
    <col min="11014" max="11014" width="28.42578125" style="271" customWidth="1"/>
    <col min="11015" max="11015" width="20.42578125" style="271" customWidth="1"/>
    <col min="11016" max="11016" width="18.140625" style="271" customWidth="1"/>
    <col min="11017" max="11017" width="18.7109375" style="271" customWidth="1"/>
    <col min="11018" max="11018" width="18.42578125" style="271" customWidth="1"/>
    <col min="11019" max="11019" width="19.28515625" style="271" customWidth="1"/>
    <col min="11020" max="11020" width="23.42578125" style="271" customWidth="1"/>
    <col min="11021" max="11021" width="16.7109375" style="271" customWidth="1"/>
    <col min="11022" max="11022" width="21.7109375" style="271" customWidth="1"/>
    <col min="11023" max="11264" width="11.42578125" style="271"/>
    <col min="11265" max="11265" width="3.42578125" style="271" customWidth="1"/>
    <col min="11266" max="11266" width="23.7109375" style="271" customWidth="1"/>
    <col min="11267" max="11267" width="22.42578125" style="271" customWidth="1"/>
    <col min="11268" max="11268" width="25" style="271" customWidth="1"/>
    <col min="11269" max="11269" width="24" style="271" customWidth="1"/>
    <col min="11270" max="11270" width="28.42578125" style="271" customWidth="1"/>
    <col min="11271" max="11271" width="20.42578125" style="271" customWidth="1"/>
    <col min="11272" max="11272" width="18.140625" style="271" customWidth="1"/>
    <col min="11273" max="11273" width="18.7109375" style="271" customWidth="1"/>
    <col min="11274" max="11274" width="18.42578125" style="271" customWidth="1"/>
    <col min="11275" max="11275" width="19.28515625" style="271" customWidth="1"/>
    <col min="11276" max="11276" width="23.42578125" style="271" customWidth="1"/>
    <col min="11277" max="11277" width="16.7109375" style="271" customWidth="1"/>
    <col min="11278" max="11278" width="21.7109375" style="271" customWidth="1"/>
    <col min="11279" max="11520" width="11.42578125" style="271"/>
    <col min="11521" max="11521" width="3.42578125" style="271" customWidth="1"/>
    <col min="11522" max="11522" width="23.7109375" style="271" customWidth="1"/>
    <col min="11523" max="11523" width="22.42578125" style="271" customWidth="1"/>
    <col min="11524" max="11524" width="25" style="271" customWidth="1"/>
    <col min="11525" max="11525" width="24" style="271" customWidth="1"/>
    <col min="11526" max="11526" width="28.42578125" style="271" customWidth="1"/>
    <col min="11527" max="11527" width="20.42578125" style="271" customWidth="1"/>
    <col min="11528" max="11528" width="18.140625" style="271" customWidth="1"/>
    <col min="11529" max="11529" width="18.7109375" style="271" customWidth="1"/>
    <col min="11530" max="11530" width="18.42578125" style="271" customWidth="1"/>
    <col min="11531" max="11531" width="19.28515625" style="271" customWidth="1"/>
    <col min="11532" max="11532" width="23.42578125" style="271" customWidth="1"/>
    <col min="11533" max="11533" width="16.7109375" style="271" customWidth="1"/>
    <col min="11534" max="11534" width="21.7109375" style="271" customWidth="1"/>
    <col min="11535" max="11776" width="11.42578125" style="271"/>
    <col min="11777" max="11777" width="3.42578125" style="271" customWidth="1"/>
    <col min="11778" max="11778" width="23.7109375" style="271" customWidth="1"/>
    <col min="11779" max="11779" width="22.42578125" style="271" customWidth="1"/>
    <col min="11780" max="11780" width="25" style="271" customWidth="1"/>
    <col min="11781" max="11781" width="24" style="271" customWidth="1"/>
    <col min="11782" max="11782" width="28.42578125" style="271" customWidth="1"/>
    <col min="11783" max="11783" width="20.42578125" style="271" customWidth="1"/>
    <col min="11784" max="11784" width="18.140625" style="271" customWidth="1"/>
    <col min="11785" max="11785" width="18.7109375" style="271" customWidth="1"/>
    <col min="11786" max="11786" width="18.42578125" style="271" customWidth="1"/>
    <col min="11787" max="11787" width="19.28515625" style="271" customWidth="1"/>
    <col min="11788" max="11788" width="23.42578125" style="271" customWidth="1"/>
    <col min="11789" max="11789" width="16.7109375" style="271" customWidth="1"/>
    <col min="11790" max="11790" width="21.7109375" style="271" customWidth="1"/>
    <col min="11791" max="12032" width="11.42578125" style="271"/>
    <col min="12033" max="12033" width="3.42578125" style="271" customWidth="1"/>
    <col min="12034" max="12034" width="23.7109375" style="271" customWidth="1"/>
    <col min="12035" max="12035" width="22.42578125" style="271" customWidth="1"/>
    <col min="12036" max="12036" width="25" style="271" customWidth="1"/>
    <col min="12037" max="12037" width="24" style="271" customWidth="1"/>
    <col min="12038" max="12038" width="28.42578125" style="271" customWidth="1"/>
    <col min="12039" max="12039" width="20.42578125" style="271" customWidth="1"/>
    <col min="12040" max="12040" width="18.140625" style="271" customWidth="1"/>
    <col min="12041" max="12041" width="18.7109375" style="271" customWidth="1"/>
    <col min="12042" max="12042" width="18.42578125" style="271" customWidth="1"/>
    <col min="12043" max="12043" width="19.28515625" style="271" customWidth="1"/>
    <col min="12044" max="12044" width="23.42578125" style="271" customWidth="1"/>
    <col min="12045" max="12045" width="16.7109375" style="271" customWidth="1"/>
    <col min="12046" max="12046" width="21.7109375" style="271" customWidth="1"/>
    <col min="12047" max="12288" width="11.42578125" style="271"/>
    <col min="12289" max="12289" width="3.42578125" style="271" customWidth="1"/>
    <col min="12290" max="12290" width="23.7109375" style="271" customWidth="1"/>
    <col min="12291" max="12291" width="22.42578125" style="271" customWidth="1"/>
    <col min="12292" max="12292" width="25" style="271" customWidth="1"/>
    <col min="12293" max="12293" width="24" style="271" customWidth="1"/>
    <col min="12294" max="12294" width="28.42578125" style="271" customWidth="1"/>
    <col min="12295" max="12295" width="20.42578125" style="271" customWidth="1"/>
    <col min="12296" max="12296" width="18.140625" style="271" customWidth="1"/>
    <col min="12297" max="12297" width="18.7109375" style="271" customWidth="1"/>
    <col min="12298" max="12298" width="18.42578125" style="271" customWidth="1"/>
    <col min="12299" max="12299" width="19.28515625" style="271" customWidth="1"/>
    <col min="12300" max="12300" width="23.42578125" style="271" customWidth="1"/>
    <col min="12301" max="12301" width="16.7109375" style="271" customWidth="1"/>
    <col min="12302" max="12302" width="21.7109375" style="271" customWidth="1"/>
    <col min="12303" max="12544" width="11.42578125" style="271"/>
    <col min="12545" max="12545" width="3.42578125" style="271" customWidth="1"/>
    <col min="12546" max="12546" width="23.7109375" style="271" customWidth="1"/>
    <col min="12547" max="12547" width="22.42578125" style="271" customWidth="1"/>
    <col min="12548" max="12548" width="25" style="271" customWidth="1"/>
    <col min="12549" max="12549" width="24" style="271" customWidth="1"/>
    <col min="12550" max="12550" width="28.42578125" style="271" customWidth="1"/>
    <col min="12551" max="12551" width="20.42578125" style="271" customWidth="1"/>
    <col min="12552" max="12552" width="18.140625" style="271" customWidth="1"/>
    <col min="12553" max="12553" width="18.7109375" style="271" customWidth="1"/>
    <col min="12554" max="12554" width="18.42578125" style="271" customWidth="1"/>
    <col min="12555" max="12555" width="19.28515625" style="271" customWidth="1"/>
    <col min="12556" max="12556" width="23.42578125" style="271" customWidth="1"/>
    <col min="12557" max="12557" width="16.7109375" style="271" customWidth="1"/>
    <col min="12558" max="12558" width="21.7109375" style="271" customWidth="1"/>
    <col min="12559" max="12800" width="11.42578125" style="271"/>
    <col min="12801" max="12801" width="3.42578125" style="271" customWidth="1"/>
    <col min="12802" max="12802" width="23.7109375" style="271" customWidth="1"/>
    <col min="12803" max="12803" width="22.42578125" style="271" customWidth="1"/>
    <col min="12804" max="12804" width="25" style="271" customWidth="1"/>
    <col min="12805" max="12805" width="24" style="271" customWidth="1"/>
    <col min="12806" max="12806" width="28.42578125" style="271" customWidth="1"/>
    <col min="12807" max="12807" width="20.42578125" style="271" customWidth="1"/>
    <col min="12808" max="12808" width="18.140625" style="271" customWidth="1"/>
    <col min="12809" max="12809" width="18.7109375" style="271" customWidth="1"/>
    <col min="12810" max="12810" width="18.42578125" style="271" customWidth="1"/>
    <col min="12811" max="12811" width="19.28515625" style="271" customWidth="1"/>
    <col min="12812" max="12812" width="23.42578125" style="271" customWidth="1"/>
    <col min="12813" max="12813" width="16.7109375" style="271" customWidth="1"/>
    <col min="12814" max="12814" width="21.7109375" style="271" customWidth="1"/>
    <col min="12815" max="13056" width="11.42578125" style="271"/>
    <col min="13057" max="13057" width="3.42578125" style="271" customWidth="1"/>
    <col min="13058" max="13058" width="23.7109375" style="271" customWidth="1"/>
    <col min="13059" max="13059" width="22.42578125" style="271" customWidth="1"/>
    <col min="13060" max="13060" width="25" style="271" customWidth="1"/>
    <col min="13061" max="13061" width="24" style="271" customWidth="1"/>
    <col min="13062" max="13062" width="28.42578125" style="271" customWidth="1"/>
    <col min="13063" max="13063" width="20.42578125" style="271" customWidth="1"/>
    <col min="13064" max="13064" width="18.140625" style="271" customWidth="1"/>
    <col min="13065" max="13065" width="18.7109375" style="271" customWidth="1"/>
    <col min="13066" max="13066" width="18.42578125" style="271" customWidth="1"/>
    <col min="13067" max="13067" width="19.28515625" style="271" customWidth="1"/>
    <col min="13068" max="13068" width="23.42578125" style="271" customWidth="1"/>
    <col min="13069" max="13069" width="16.7109375" style="271" customWidth="1"/>
    <col min="13070" max="13070" width="21.7109375" style="271" customWidth="1"/>
    <col min="13071" max="13312" width="11.42578125" style="271"/>
    <col min="13313" max="13313" width="3.42578125" style="271" customWidth="1"/>
    <col min="13314" max="13314" width="23.7109375" style="271" customWidth="1"/>
    <col min="13315" max="13315" width="22.42578125" style="271" customWidth="1"/>
    <col min="13316" max="13316" width="25" style="271" customWidth="1"/>
    <col min="13317" max="13317" width="24" style="271" customWidth="1"/>
    <col min="13318" max="13318" width="28.42578125" style="271" customWidth="1"/>
    <col min="13319" max="13319" width="20.42578125" style="271" customWidth="1"/>
    <col min="13320" max="13320" width="18.140625" style="271" customWidth="1"/>
    <col min="13321" max="13321" width="18.7109375" style="271" customWidth="1"/>
    <col min="13322" max="13322" width="18.42578125" style="271" customWidth="1"/>
    <col min="13323" max="13323" width="19.28515625" style="271" customWidth="1"/>
    <col min="13324" max="13324" width="23.42578125" style="271" customWidth="1"/>
    <col min="13325" max="13325" width="16.7109375" style="271" customWidth="1"/>
    <col min="13326" max="13326" width="21.7109375" style="271" customWidth="1"/>
    <col min="13327" max="13568" width="11.42578125" style="271"/>
    <col min="13569" max="13569" width="3.42578125" style="271" customWidth="1"/>
    <col min="13570" max="13570" width="23.7109375" style="271" customWidth="1"/>
    <col min="13571" max="13571" width="22.42578125" style="271" customWidth="1"/>
    <col min="13572" max="13572" width="25" style="271" customWidth="1"/>
    <col min="13573" max="13573" width="24" style="271" customWidth="1"/>
    <col min="13574" max="13574" width="28.42578125" style="271" customWidth="1"/>
    <col min="13575" max="13575" width="20.42578125" style="271" customWidth="1"/>
    <col min="13576" max="13576" width="18.140625" style="271" customWidth="1"/>
    <col min="13577" max="13577" width="18.7109375" style="271" customWidth="1"/>
    <col min="13578" max="13578" width="18.42578125" style="271" customWidth="1"/>
    <col min="13579" max="13579" width="19.28515625" style="271" customWidth="1"/>
    <col min="13580" max="13580" width="23.42578125" style="271" customWidth="1"/>
    <col min="13581" max="13581" width="16.7109375" style="271" customWidth="1"/>
    <col min="13582" max="13582" width="21.7109375" style="271" customWidth="1"/>
    <col min="13583" max="13824" width="11.42578125" style="271"/>
    <col min="13825" max="13825" width="3.42578125" style="271" customWidth="1"/>
    <col min="13826" max="13826" width="23.7109375" style="271" customWidth="1"/>
    <col min="13827" max="13827" width="22.42578125" style="271" customWidth="1"/>
    <col min="13828" max="13828" width="25" style="271" customWidth="1"/>
    <col min="13829" max="13829" width="24" style="271" customWidth="1"/>
    <col min="13830" max="13830" width="28.42578125" style="271" customWidth="1"/>
    <col min="13831" max="13831" width="20.42578125" style="271" customWidth="1"/>
    <col min="13832" max="13832" width="18.140625" style="271" customWidth="1"/>
    <col min="13833" max="13833" width="18.7109375" style="271" customWidth="1"/>
    <col min="13834" max="13834" width="18.42578125" style="271" customWidth="1"/>
    <col min="13835" max="13835" width="19.28515625" style="271" customWidth="1"/>
    <col min="13836" max="13836" width="23.42578125" style="271" customWidth="1"/>
    <col min="13837" max="13837" width="16.7109375" style="271" customWidth="1"/>
    <col min="13838" max="13838" width="21.7109375" style="271" customWidth="1"/>
    <col min="13839" max="14080" width="11.42578125" style="271"/>
    <col min="14081" max="14081" width="3.42578125" style="271" customWidth="1"/>
    <col min="14082" max="14082" width="23.7109375" style="271" customWidth="1"/>
    <col min="14083" max="14083" width="22.42578125" style="271" customWidth="1"/>
    <col min="14084" max="14084" width="25" style="271" customWidth="1"/>
    <col min="14085" max="14085" width="24" style="271" customWidth="1"/>
    <col min="14086" max="14086" width="28.42578125" style="271" customWidth="1"/>
    <col min="14087" max="14087" width="20.42578125" style="271" customWidth="1"/>
    <col min="14088" max="14088" width="18.140625" style="271" customWidth="1"/>
    <col min="14089" max="14089" width="18.7109375" style="271" customWidth="1"/>
    <col min="14090" max="14090" width="18.42578125" style="271" customWidth="1"/>
    <col min="14091" max="14091" width="19.28515625" style="271" customWidth="1"/>
    <col min="14092" max="14092" width="23.42578125" style="271" customWidth="1"/>
    <col min="14093" max="14093" width="16.7109375" style="271" customWidth="1"/>
    <col min="14094" max="14094" width="21.7109375" style="271" customWidth="1"/>
    <col min="14095" max="14336" width="11.42578125" style="271"/>
    <col min="14337" max="14337" width="3.42578125" style="271" customWidth="1"/>
    <col min="14338" max="14338" width="23.7109375" style="271" customWidth="1"/>
    <col min="14339" max="14339" width="22.42578125" style="271" customWidth="1"/>
    <col min="14340" max="14340" width="25" style="271" customWidth="1"/>
    <col min="14341" max="14341" width="24" style="271" customWidth="1"/>
    <col min="14342" max="14342" width="28.42578125" style="271" customWidth="1"/>
    <col min="14343" max="14343" width="20.42578125" style="271" customWidth="1"/>
    <col min="14344" max="14344" width="18.140625" style="271" customWidth="1"/>
    <col min="14345" max="14345" width="18.7109375" style="271" customWidth="1"/>
    <col min="14346" max="14346" width="18.42578125" style="271" customWidth="1"/>
    <col min="14347" max="14347" width="19.28515625" style="271" customWidth="1"/>
    <col min="14348" max="14348" width="23.42578125" style="271" customWidth="1"/>
    <col min="14349" max="14349" width="16.7109375" style="271" customWidth="1"/>
    <col min="14350" max="14350" width="21.7109375" style="271" customWidth="1"/>
    <col min="14351" max="14592" width="11.42578125" style="271"/>
    <col min="14593" max="14593" width="3.42578125" style="271" customWidth="1"/>
    <col min="14594" max="14594" width="23.7109375" style="271" customWidth="1"/>
    <col min="14595" max="14595" width="22.42578125" style="271" customWidth="1"/>
    <col min="14596" max="14596" width="25" style="271" customWidth="1"/>
    <col min="14597" max="14597" width="24" style="271" customWidth="1"/>
    <col min="14598" max="14598" width="28.42578125" style="271" customWidth="1"/>
    <col min="14599" max="14599" width="20.42578125" style="271" customWidth="1"/>
    <col min="14600" max="14600" width="18.140625" style="271" customWidth="1"/>
    <col min="14601" max="14601" width="18.7109375" style="271" customWidth="1"/>
    <col min="14602" max="14602" width="18.42578125" style="271" customWidth="1"/>
    <col min="14603" max="14603" width="19.28515625" style="271" customWidth="1"/>
    <col min="14604" max="14604" width="23.42578125" style="271" customWidth="1"/>
    <col min="14605" max="14605" width="16.7109375" style="271" customWidth="1"/>
    <col min="14606" max="14606" width="21.7109375" style="271" customWidth="1"/>
    <col min="14607" max="14848" width="11.42578125" style="271"/>
    <col min="14849" max="14849" width="3.42578125" style="271" customWidth="1"/>
    <col min="14850" max="14850" width="23.7109375" style="271" customWidth="1"/>
    <col min="14851" max="14851" width="22.42578125" style="271" customWidth="1"/>
    <col min="14852" max="14852" width="25" style="271" customWidth="1"/>
    <col min="14853" max="14853" width="24" style="271" customWidth="1"/>
    <col min="14854" max="14854" width="28.42578125" style="271" customWidth="1"/>
    <col min="14855" max="14855" width="20.42578125" style="271" customWidth="1"/>
    <col min="14856" max="14856" width="18.140625" style="271" customWidth="1"/>
    <col min="14857" max="14857" width="18.7109375" style="271" customWidth="1"/>
    <col min="14858" max="14858" width="18.42578125" style="271" customWidth="1"/>
    <col min="14859" max="14859" width="19.28515625" style="271" customWidth="1"/>
    <col min="14860" max="14860" width="23.42578125" style="271" customWidth="1"/>
    <col min="14861" max="14861" width="16.7109375" style="271" customWidth="1"/>
    <col min="14862" max="14862" width="21.7109375" style="271" customWidth="1"/>
    <col min="14863" max="15104" width="11.42578125" style="271"/>
    <col min="15105" max="15105" width="3.42578125" style="271" customWidth="1"/>
    <col min="15106" max="15106" width="23.7109375" style="271" customWidth="1"/>
    <col min="15107" max="15107" width="22.42578125" style="271" customWidth="1"/>
    <col min="15108" max="15108" width="25" style="271" customWidth="1"/>
    <col min="15109" max="15109" width="24" style="271" customWidth="1"/>
    <col min="15110" max="15110" width="28.42578125" style="271" customWidth="1"/>
    <col min="15111" max="15111" width="20.42578125" style="271" customWidth="1"/>
    <col min="15112" max="15112" width="18.140625" style="271" customWidth="1"/>
    <col min="15113" max="15113" width="18.7109375" style="271" customWidth="1"/>
    <col min="15114" max="15114" width="18.42578125" style="271" customWidth="1"/>
    <col min="15115" max="15115" width="19.28515625" style="271" customWidth="1"/>
    <col min="15116" max="15116" width="23.42578125" style="271" customWidth="1"/>
    <col min="15117" max="15117" width="16.7109375" style="271" customWidth="1"/>
    <col min="15118" max="15118" width="21.7109375" style="271" customWidth="1"/>
    <col min="15119" max="15360" width="11.42578125" style="271"/>
    <col min="15361" max="15361" width="3.42578125" style="271" customWidth="1"/>
    <col min="15362" max="15362" width="23.7109375" style="271" customWidth="1"/>
    <col min="15363" max="15363" width="22.42578125" style="271" customWidth="1"/>
    <col min="15364" max="15364" width="25" style="271" customWidth="1"/>
    <col min="15365" max="15365" width="24" style="271" customWidth="1"/>
    <col min="15366" max="15366" width="28.42578125" style="271" customWidth="1"/>
    <col min="15367" max="15367" width="20.42578125" style="271" customWidth="1"/>
    <col min="15368" max="15368" width="18.140625" style="271" customWidth="1"/>
    <col min="15369" max="15369" width="18.7109375" style="271" customWidth="1"/>
    <col min="15370" max="15370" width="18.42578125" style="271" customWidth="1"/>
    <col min="15371" max="15371" width="19.28515625" style="271" customWidth="1"/>
    <col min="15372" max="15372" width="23.42578125" style="271" customWidth="1"/>
    <col min="15373" max="15373" width="16.7109375" style="271" customWidth="1"/>
    <col min="15374" max="15374" width="21.7109375" style="271" customWidth="1"/>
    <col min="15375" max="15616" width="11.42578125" style="271"/>
    <col min="15617" max="15617" width="3.42578125" style="271" customWidth="1"/>
    <col min="15618" max="15618" width="23.7109375" style="271" customWidth="1"/>
    <col min="15619" max="15619" width="22.42578125" style="271" customWidth="1"/>
    <col min="15620" max="15620" width="25" style="271" customWidth="1"/>
    <col min="15621" max="15621" width="24" style="271" customWidth="1"/>
    <col min="15622" max="15622" width="28.42578125" style="271" customWidth="1"/>
    <col min="15623" max="15623" width="20.42578125" style="271" customWidth="1"/>
    <col min="15624" max="15624" width="18.140625" style="271" customWidth="1"/>
    <col min="15625" max="15625" width="18.7109375" style="271" customWidth="1"/>
    <col min="15626" max="15626" width="18.42578125" style="271" customWidth="1"/>
    <col min="15627" max="15627" width="19.28515625" style="271" customWidth="1"/>
    <col min="15628" max="15628" width="23.42578125" style="271" customWidth="1"/>
    <col min="15629" max="15629" width="16.7109375" style="271" customWidth="1"/>
    <col min="15630" max="15630" width="21.7109375" style="271" customWidth="1"/>
    <col min="15631" max="15872" width="11.42578125" style="271"/>
    <col min="15873" max="15873" width="3.42578125" style="271" customWidth="1"/>
    <col min="15874" max="15874" width="23.7109375" style="271" customWidth="1"/>
    <col min="15875" max="15875" width="22.42578125" style="271" customWidth="1"/>
    <col min="15876" max="15876" width="25" style="271" customWidth="1"/>
    <col min="15877" max="15877" width="24" style="271" customWidth="1"/>
    <col min="15878" max="15878" width="28.42578125" style="271" customWidth="1"/>
    <col min="15879" max="15879" width="20.42578125" style="271" customWidth="1"/>
    <col min="15880" max="15880" width="18.140625" style="271" customWidth="1"/>
    <col min="15881" max="15881" width="18.7109375" style="271" customWidth="1"/>
    <col min="15882" max="15882" width="18.42578125" style="271" customWidth="1"/>
    <col min="15883" max="15883" width="19.28515625" style="271" customWidth="1"/>
    <col min="15884" max="15884" width="23.42578125" style="271" customWidth="1"/>
    <col min="15885" max="15885" width="16.7109375" style="271" customWidth="1"/>
    <col min="15886" max="15886" width="21.7109375" style="271" customWidth="1"/>
    <col min="15887" max="16128" width="11.42578125" style="271"/>
    <col min="16129" max="16129" width="3.42578125" style="271" customWidth="1"/>
    <col min="16130" max="16130" width="23.7109375" style="271" customWidth="1"/>
    <col min="16131" max="16131" width="22.42578125" style="271" customWidth="1"/>
    <col min="16132" max="16132" width="25" style="271" customWidth="1"/>
    <col min="16133" max="16133" width="24" style="271" customWidth="1"/>
    <col min="16134" max="16134" width="28.42578125" style="271" customWidth="1"/>
    <col min="16135" max="16135" width="20.42578125" style="271" customWidth="1"/>
    <col min="16136" max="16136" width="18.140625" style="271" customWidth="1"/>
    <col min="16137" max="16137" width="18.7109375" style="271" customWidth="1"/>
    <col min="16138" max="16138" width="18.42578125" style="271" customWidth="1"/>
    <col min="16139" max="16139" width="19.28515625" style="271" customWidth="1"/>
    <col min="16140" max="16140" width="23.42578125" style="271" customWidth="1"/>
    <col min="16141" max="16141" width="16.7109375" style="271" customWidth="1"/>
    <col min="16142" max="16142" width="21.7109375" style="271" customWidth="1"/>
    <col min="16143" max="16384" width="11.42578125" style="271"/>
  </cols>
  <sheetData>
    <row r="1" spans="2:14" s="11" customFormat="1" ht="36.75" customHeight="1" x14ac:dyDescent="0.2">
      <c r="B1" s="1477"/>
      <c r="C1" s="1482" t="s">
        <v>1795</v>
      </c>
      <c r="D1" s="1483"/>
      <c r="E1" s="1483"/>
      <c r="F1" s="1483"/>
      <c r="G1" s="1483"/>
      <c r="H1" s="1484"/>
      <c r="I1" s="1147" t="s">
        <v>1796</v>
      </c>
    </row>
    <row r="2" spans="2:14" s="11" customFormat="1" ht="21" customHeight="1" x14ac:dyDescent="0.2">
      <c r="B2" s="1477"/>
      <c r="C2" s="1485"/>
      <c r="D2" s="1486"/>
      <c r="E2" s="1486"/>
      <c r="F2" s="1486"/>
      <c r="G2" s="1486"/>
      <c r="H2" s="1487"/>
      <c r="I2" s="1147" t="s">
        <v>1791</v>
      </c>
    </row>
    <row r="3" spans="2:14" ht="18.75" customHeight="1" x14ac:dyDescent="0.25">
      <c r="B3" s="1462"/>
      <c r="C3" s="1478"/>
      <c r="D3" s="1478"/>
      <c r="E3" s="1478"/>
      <c r="F3" s="1478"/>
      <c r="G3" s="1478"/>
      <c r="H3" s="1478"/>
      <c r="I3" s="1478"/>
    </row>
    <row r="4" spans="2:14" ht="28.5" hidden="1" customHeight="1" x14ac:dyDescent="0.25">
      <c r="B4" s="1462"/>
      <c r="C4" s="1462"/>
      <c r="D4" s="1462"/>
      <c r="E4" s="1462"/>
      <c r="F4" s="1462"/>
      <c r="G4" s="1462"/>
      <c r="H4" s="1462"/>
      <c r="I4" s="1462"/>
    </row>
    <row r="5" spans="2:14" ht="29.25" customHeight="1" x14ac:dyDescent="0.25">
      <c r="B5" s="317" t="s">
        <v>118</v>
      </c>
      <c r="C5" s="2071" t="str">
        <f>+'ANALÍTICA ESTADO SITUACIÓN F'!C6:D6</f>
        <v xml:space="preserve">130000 - DIRECCIÓN SECTOR HÁBITAT Y AMBIENTE </v>
      </c>
      <c r="D5" s="2071"/>
      <c r="E5" s="2071"/>
      <c r="F5" s="2071"/>
      <c r="G5" s="2071"/>
      <c r="H5" s="2071"/>
      <c r="I5" s="2071"/>
    </row>
    <row r="6" spans="2:14" ht="29.25" customHeight="1" x14ac:dyDescent="0.25">
      <c r="B6" s="317" t="s">
        <v>1</v>
      </c>
      <c r="C6" s="2072" t="str">
        <f>+'ANALÍTICA ESTADO SITUACIÓN F'!C7:D7</f>
        <v>208 - Caja de Vivienda Popular – CVP</v>
      </c>
      <c r="D6" s="2073"/>
      <c r="E6" s="2073"/>
      <c r="F6" s="318" t="s">
        <v>2</v>
      </c>
      <c r="G6" s="1479">
        <f>+'ANALÍTICA ESTADO SITUACIÓN F'!H7</f>
        <v>2023</v>
      </c>
      <c r="H6" s="1479"/>
      <c r="I6" s="1479"/>
    </row>
    <row r="7" spans="2:14" ht="29.25" customHeight="1" x14ac:dyDescent="0.25">
      <c r="B7" s="317" t="s">
        <v>1782</v>
      </c>
      <c r="C7" s="2073">
        <f>+'ANALÍTICA ESTADO SITUACIÓN F'!C8</f>
        <v>2025</v>
      </c>
      <c r="D7" s="2073"/>
      <c r="E7" s="2073"/>
      <c r="F7" s="318" t="s">
        <v>705</v>
      </c>
      <c r="G7" s="1479">
        <f>+'ANALÍTICA ESTADO SITUACIÓN F'!H8</f>
        <v>55</v>
      </c>
      <c r="H7" s="1479"/>
      <c r="I7" s="1479"/>
    </row>
    <row r="8" spans="2:14" ht="29.25" customHeight="1" x14ac:dyDescent="0.25">
      <c r="C8" s="319"/>
      <c r="D8" s="319"/>
      <c r="E8" s="319"/>
      <c r="F8" s="320"/>
      <c r="G8" s="1035"/>
      <c r="H8" s="1035"/>
      <c r="I8" s="1035"/>
    </row>
    <row r="9" spans="2:14" s="11" customFormat="1" ht="33" customHeight="1" x14ac:dyDescent="0.2">
      <c r="B9" s="1346" t="s">
        <v>706</v>
      </c>
      <c r="C9" s="1346"/>
      <c r="D9" s="1346"/>
      <c r="E9" s="1346"/>
      <c r="F9" s="1346"/>
      <c r="G9" s="1346"/>
      <c r="H9" s="1346"/>
      <c r="I9" s="1346"/>
      <c r="J9" s="50"/>
    </row>
    <row r="10" spans="2:14" x14ac:dyDescent="0.25">
      <c r="C10" s="321"/>
      <c r="D10" s="310"/>
      <c r="E10" s="320"/>
      <c r="F10" s="319"/>
    </row>
    <row r="11" spans="2:14" ht="229.5" customHeight="1" x14ac:dyDescent="0.25">
      <c r="B11" s="1480" t="s">
        <v>707</v>
      </c>
      <c r="C11" s="1480"/>
      <c r="D11" s="1480"/>
      <c r="E11" s="1480"/>
      <c r="F11" s="1480"/>
      <c r="G11" s="1480"/>
      <c r="H11" s="1480"/>
      <c r="I11" s="1480"/>
    </row>
    <row r="12" spans="2:14" ht="8.25" customHeight="1" x14ac:dyDescent="0.25">
      <c r="B12" s="322"/>
      <c r="E12" s="322"/>
    </row>
    <row r="13" spans="2:14" ht="15.75" x14ac:dyDescent="0.25">
      <c r="B13" s="1481" t="s">
        <v>708</v>
      </c>
      <c r="C13" s="1481"/>
      <c r="D13" s="1481"/>
      <c r="E13" s="1481"/>
      <c r="F13" s="1481"/>
      <c r="G13" s="1481"/>
      <c r="H13" s="1481"/>
      <c r="I13" s="1481"/>
    </row>
    <row r="14" spans="2:14" ht="29.25" customHeight="1" x14ac:dyDescent="0.25">
      <c r="B14" s="1462" t="s">
        <v>709</v>
      </c>
      <c r="C14" s="1462"/>
      <c r="D14" s="1462"/>
      <c r="E14" s="1462"/>
      <c r="F14" s="1462"/>
      <c r="G14" s="1462"/>
      <c r="H14" s="1462"/>
      <c r="I14" s="1462"/>
      <c r="J14" s="323"/>
      <c r="K14" s="323"/>
      <c r="L14" s="324"/>
      <c r="M14" s="323"/>
      <c r="N14" s="323"/>
    </row>
    <row r="15" spans="2:14" ht="29.25" customHeight="1" x14ac:dyDescent="0.25">
      <c r="B15" s="2135" t="s">
        <v>1802</v>
      </c>
      <c r="C15" s="2136"/>
      <c r="D15" s="2136"/>
      <c r="E15" s="2136"/>
      <c r="F15" s="2136"/>
      <c r="G15" s="2137"/>
      <c r="H15" s="2138" t="s">
        <v>1803</v>
      </c>
      <c r="I15" s="2139"/>
      <c r="J15" s="323"/>
      <c r="K15" s="323"/>
      <c r="L15" s="324"/>
      <c r="M15" s="323"/>
      <c r="N15" s="323"/>
    </row>
    <row r="16" spans="2:14" ht="51" x14ac:dyDescent="0.25">
      <c r="B16" s="325" t="s">
        <v>710</v>
      </c>
      <c r="C16" s="325" t="s">
        <v>211</v>
      </c>
      <c r="D16" s="325" t="s">
        <v>711</v>
      </c>
      <c r="E16" s="326" t="s">
        <v>211</v>
      </c>
      <c r="F16" s="327" t="s">
        <v>712</v>
      </c>
      <c r="G16" s="326" t="s">
        <v>211</v>
      </c>
      <c r="H16" s="325" t="s">
        <v>713</v>
      </c>
      <c r="I16" s="326" t="s">
        <v>211</v>
      </c>
      <c r="J16" s="328"/>
      <c r="K16" s="328"/>
      <c r="L16" s="329"/>
      <c r="M16" s="330"/>
      <c r="N16" s="329"/>
    </row>
    <row r="17" spans="2:14" x14ac:dyDescent="0.25">
      <c r="B17" s="2140" t="s">
        <v>1801</v>
      </c>
      <c r="C17" s="351">
        <v>0</v>
      </c>
      <c r="D17" s="2140" t="s">
        <v>1801</v>
      </c>
      <c r="E17" s="351">
        <v>0</v>
      </c>
      <c r="F17" s="2140" t="s">
        <v>1801</v>
      </c>
      <c r="G17" s="351">
        <v>0</v>
      </c>
      <c r="H17" s="2140" t="s">
        <v>156</v>
      </c>
      <c r="I17" s="351">
        <v>1</v>
      </c>
      <c r="J17" s="324"/>
      <c r="K17" s="324"/>
      <c r="L17" s="332"/>
      <c r="M17" s="333"/>
      <c r="N17" s="334"/>
    </row>
    <row r="18" spans="2:14" x14ac:dyDescent="0.25">
      <c r="B18" s="2140" t="s">
        <v>714</v>
      </c>
      <c r="C18" s="351">
        <v>1</v>
      </c>
      <c r="D18" s="2141" t="s">
        <v>157</v>
      </c>
      <c r="E18" s="351">
        <v>1</v>
      </c>
      <c r="F18" s="2140" t="s">
        <v>715</v>
      </c>
      <c r="G18" s="351">
        <v>1</v>
      </c>
      <c r="H18" s="2140" t="s">
        <v>133</v>
      </c>
      <c r="I18" s="351">
        <v>2</v>
      </c>
      <c r="J18" s="324"/>
      <c r="K18" s="324"/>
      <c r="L18" s="332"/>
      <c r="M18" s="333"/>
      <c r="N18" s="334"/>
    </row>
    <row r="19" spans="2:14" x14ac:dyDescent="0.25">
      <c r="B19" s="2140" t="s">
        <v>716</v>
      </c>
      <c r="C19" s="351">
        <v>2</v>
      </c>
      <c r="D19" s="2140" t="s">
        <v>132</v>
      </c>
      <c r="E19" s="2142">
        <v>2</v>
      </c>
      <c r="F19" s="2140" t="s">
        <v>717</v>
      </c>
      <c r="G19" s="351">
        <v>4</v>
      </c>
      <c r="H19" s="2140" t="s">
        <v>154</v>
      </c>
      <c r="I19" s="351">
        <v>3</v>
      </c>
      <c r="J19" s="323"/>
      <c r="K19" s="323"/>
      <c r="L19" s="332"/>
      <c r="M19" s="333"/>
      <c r="N19" s="332"/>
    </row>
    <row r="20" spans="2:14" x14ac:dyDescent="0.25">
      <c r="B20" s="2140" t="s">
        <v>538</v>
      </c>
      <c r="C20" s="336">
        <v>3</v>
      </c>
      <c r="D20" s="2141" t="s">
        <v>155</v>
      </c>
      <c r="E20" s="351">
        <v>3</v>
      </c>
      <c r="F20" s="317"/>
      <c r="G20" s="2143"/>
      <c r="H20" s="2144" t="s">
        <v>718</v>
      </c>
      <c r="I20" s="2142">
        <v>4</v>
      </c>
      <c r="J20" s="323"/>
      <c r="K20" s="323"/>
      <c r="L20" s="332"/>
      <c r="M20" s="335"/>
      <c r="N20" s="334"/>
    </row>
    <row r="21" spans="2:14" x14ac:dyDescent="0.25">
      <c r="B21" s="2141" t="s">
        <v>544</v>
      </c>
      <c r="C21" s="336">
        <v>4</v>
      </c>
      <c r="D21" s="2141" t="s">
        <v>153</v>
      </c>
      <c r="E21" s="351">
        <v>4</v>
      </c>
      <c r="F21" s="317"/>
      <c r="G21" s="317"/>
      <c r="H21" s="317"/>
      <c r="I21" s="317"/>
      <c r="J21" s="337"/>
      <c r="K21" s="337"/>
      <c r="L21" s="338"/>
      <c r="M21" s="339"/>
      <c r="N21" s="340"/>
    </row>
    <row r="22" spans="2:14" x14ac:dyDescent="0.25">
      <c r="B22" s="1277">
        <f>IF(B30="Abstención",4,IF(B30="Negativa",3,IF(B30="Con salvedades",2,IF(B30="Sin salvedades",1,0))))</f>
        <v>1</v>
      </c>
      <c r="C22" s="1277"/>
      <c r="D22" s="1277">
        <f>IF(C30="Ineficiente",3,IF(C30="Con deficiencias",2,IF(C30="Eficiente",1,IF(C30="Inexistente",4,0))))</f>
        <v>1</v>
      </c>
      <c r="E22" s="1277"/>
      <c r="F22" s="1277">
        <f>IF(D30="No fenecida",4,IF(D30="Fenecida",1,0))</f>
        <v>0</v>
      </c>
      <c r="G22" s="1277"/>
      <c r="H22" s="1277">
        <f>IF(E30="Critico",4,IF(E30="Alto",3,IF(E30="Medio",2,IF(E30="Bajo",1,0))))</f>
        <v>1</v>
      </c>
      <c r="I22" s="1277"/>
      <c r="J22" s="337"/>
      <c r="K22" s="337"/>
      <c r="L22" s="341"/>
      <c r="M22" s="342"/>
      <c r="N22" s="343"/>
    </row>
    <row r="23" spans="2:14" x14ac:dyDescent="0.25">
      <c r="B23" s="1276"/>
      <c r="C23" s="1276"/>
      <c r="D23" s="1276"/>
      <c r="E23" s="1276"/>
      <c r="F23" s="1276"/>
      <c r="G23" s="1276"/>
      <c r="H23" s="348"/>
      <c r="I23" s="1276"/>
      <c r="J23" s="337"/>
      <c r="K23" s="337"/>
      <c r="L23" s="324"/>
      <c r="M23" s="323"/>
      <c r="N23" s="323"/>
    </row>
    <row r="24" spans="2:14" ht="75" customHeight="1" x14ac:dyDescent="0.25">
      <c r="B24" s="2145" t="s">
        <v>719</v>
      </c>
      <c r="C24" s="2145"/>
      <c r="D24" s="2145"/>
      <c r="E24" s="2145"/>
      <c r="F24" s="2145"/>
      <c r="G24" s="2145"/>
      <c r="H24" s="2145"/>
      <c r="I24" s="2145"/>
      <c r="J24" s="337"/>
      <c r="K24" s="337"/>
      <c r="L24" s="324"/>
      <c r="M24" s="323"/>
      <c r="N24" s="323"/>
    </row>
    <row r="25" spans="2:14" x14ac:dyDescent="0.25">
      <c r="B25" s="1276"/>
      <c r="C25" s="1276"/>
      <c r="D25" s="1276"/>
      <c r="E25" s="1276"/>
      <c r="F25" s="1276"/>
      <c r="G25" s="1276"/>
      <c r="H25" s="348"/>
      <c r="I25" s="1276"/>
      <c r="J25" s="337"/>
      <c r="K25" s="337"/>
      <c r="L25" s="324"/>
      <c r="M25" s="323"/>
      <c r="N25" s="323"/>
    </row>
    <row r="26" spans="2:14" x14ac:dyDescent="0.25">
      <c r="B26" s="1276"/>
      <c r="C26" s="1276"/>
      <c r="D26" s="1276"/>
      <c r="E26" s="1276"/>
      <c r="F26" s="1276"/>
      <c r="G26" s="1276"/>
      <c r="H26" s="348"/>
      <c r="I26" s="1276"/>
      <c r="J26" s="337"/>
      <c r="K26" s="337"/>
      <c r="L26" s="324"/>
      <c r="M26" s="323"/>
      <c r="N26" s="323"/>
    </row>
    <row r="27" spans="2:14" ht="42" customHeight="1" x14ac:dyDescent="0.25">
      <c r="B27" s="2146" t="s">
        <v>720</v>
      </c>
      <c r="C27" s="2146"/>
      <c r="D27" s="2146"/>
      <c r="E27" s="2146"/>
      <c r="F27" s="50"/>
      <c r="G27" s="50"/>
      <c r="I27" s="344"/>
      <c r="J27" s="340"/>
      <c r="K27" s="340"/>
      <c r="L27" s="345"/>
      <c r="M27" s="340"/>
      <c r="N27" s="346"/>
    </row>
    <row r="28" spans="2:14" ht="91.15" customHeight="1" x14ac:dyDescent="0.25">
      <c r="B28" s="1474" t="s">
        <v>1804</v>
      </c>
      <c r="C28" s="1475"/>
      <c r="D28" s="1475"/>
      <c r="E28" s="1476"/>
      <c r="F28" s="50"/>
      <c r="G28" s="50"/>
      <c r="I28" s="344"/>
      <c r="J28" s="340"/>
      <c r="K28" s="340"/>
      <c r="L28" s="345"/>
      <c r="M28" s="340"/>
      <c r="N28" s="346"/>
    </row>
    <row r="29" spans="2:14" ht="80.25" customHeight="1" x14ac:dyDescent="0.25">
      <c r="B29" s="1149" t="s">
        <v>721</v>
      </c>
      <c r="C29" s="1150" t="s">
        <v>1805</v>
      </c>
      <c r="D29" s="1151" t="s">
        <v>722</v>
      </c>
      <c r="E29" s="1152" t="s">
        <v>1806</v>
      </c>
      <c r="F29" s="347"/>
      <c r="I29" s="344"/>
      <c r="J29" s="348"/>
      <c r="K29" s="348"/>
      <c r="L29" s="329"/>
      <c r="M29" s="329"/>
      <c r="N29" s="329"/>
    </row>
    <row r="30" spans="2:14" x14ac:dyDescent="0.25">
      <c r="B30" s="331" t="s">
        <v>714</v>
      </c>
      <c r="C30" s="331" t="s">
        <v>157</v>
      </c>
      <c r="D30" s="331" t="s">
        <v>1801</v>
      </c>
      <c r="E30" s="331" t="s">
        <v>156</v>
      </c>
      <c r="F30" s="332"/>
      <c r="I30" s="344"/>
      <c r="J30" s="340"/>
      <c r="K30" s="340"/>
      <c r="L30" s="332"/>
      <c r="M30" s="332"/>
      <c r="N30" s="332"/>
    </row>
    <row r="31" spans="2:14" x14ac:dyDescent="0.25">
      <c r="B31" s="337"/>
      <c r="C31" s="337"/>
      <c r="D31" s="337"/>
      <c r="E31" s="337"/>
      <c r="F31" s="337"/>
      <c r="I31" s="344"/>
      <c r="L31" s="337"/>
      <c r="M31" s="337"/>
      <c r="N31" s="337"/>
    </row>
    <row r="32" spans="2:14" ht="72" customHeight="1" x14ac:dyDescent="0.25">
      <c r="B32" s="1480" t="s">
        <v>723</v>
      </c>
      <c r="C32" s="1480"/>
      <c r="D32" s="1480"/>
      <c r="E32" s="1480"/>
      <c r="F32" s="1480"/>
      <c r="G32" s="1480"/>
      <c r="H32" s="1480"/>
      <c r="I32" s="1480"/>
      <c r="L32" s="337"/>
      <c r="M32" s="337"/>
      <c r="N32" s="337"/>
    </row>
    <row r="33" spans="2:14" x14ac:dyDescent="0.25">
      <c r="B33" s="1276"/>
      <c r="C33" s="1276"/>
      <c r="D33" s="1276"/>
      <c r="E33" s="1276"/>
      <c r="F33" s="1276"/>
      <c r="G33" s="1276"/>
      <c r="H33" s="348"/>
      <c r="I33" s="1276"/>
      <c r="J33" s="337"/>
      <c r="K33" s="337"/>
      <c r="L33" s="324"/>
      <c r="M33" s="323"/>
      <c r="N33" s="323"/>
    </row>
    <row r="34" spans="2:14" ht="43.5" customHeight="1" x14ac:dyDescent="0.25">
      <c r="B34" s="2147" t="s">
        <v>724</v>
      </c>
      <c r="C34" s="2147"/>
      <c r="D34" s="2147"/>
      <c r="E34" s="2147"/>
      <c r="F34" s="2147"/>
      <c r="G34" s="632"/>
      <c r="H34" s="632"/>
      <c r="I34" s="632"/>
      <c r="J34" s="337"/>
      <c r="K34" s="337"/>
      <c r="L34" s="324"/>
      <c r="M34" s="323"/>
      <c r="N34" s="323"/>
    </row>
    <row r="35" spans="2:14" ht="31.5" customHeight="1" x14ac:dyDescent="0.25">
      <c r="B35" s="349" t="s">
        <v>725</v>
      </c>
      <c r="C35" s="349" t="s">
        <v>726</v>
      </c>
      <c r="D35" s="2148" t="s">
        <v>727</v>
      </c>
      <c r="E35" s="2148"/>
      <c r="F35" s="2148"/>
      <c r="I35" s="344"/>
      <c r="J35" s="350"/>
      <c r="K35" s="350"/>
      <c r="L35" s="350"/>
      <c r="M35" s="350"/>
      <c r="N35" s="350"/>
    </row>
    <row r="36" spans="2:14" ht="45" customHeight="1" x14ac:dyDescent="0.25">
      <c r="B36" s="317" t="s">
        <v>728</v>
      </c>
      <c r="C36" s="351" t="s">
        <v>729</v>
      </c>
      <c r="D36" s="1471" t="s">
        <v>730</v>
      </c>
      <c r="E36" s="1471"/>
      <c r="F36" s="1471"/>
      <c r="I36" s="344"/>
      <c r="J36" s="350"/>
      <c r="K36" s="350"/>
      <c r="L36" s="350"/>
      <c r="M36" s="350"/>
      <c r="N36" s="350"/>
    </row>
    <row r="37" spans="2:14" ht="39" customHeight="1" x14ac:dyDescent="0.25">
      <c r="B37" s="317" t="s">
        <v>731</v>
      </c>
      <c r="C37" s="351" t="s">
        <v>729</v>
      </c>
      <c r="D37" s="1471"/>
      <c r="E37" s="1471"/>
      <c r="F37" s="1471"/>
      <c r="I37" s="344"/>
      <c r="J37" s="350"/>
      <c r="K37" s="350"/>
      <c r="L37" s="350"/>
      <c r="M37" s="350"/>
      <c r="N37" s="350"/>
    </row>
    <row r="38" spans="2:14" x14ac:dyDescent="0.25">
      <c r="C38" s="352"/>
      <c r="D38" s="353"/>
      <c r="E38" s="353"/>
      <c r="F38" s="353"/>
      <c r="I38" s="344"/>
      <c r="J38" s="350"/>
      <c r="K38" s="350"/>
      <c r="L38" s="350"/>
      <c r="M38" s="350"/>
      <c r="N38" s="350"/>
    </row>
    <row r="39" spans="2:14" ht="46.5" customHeight="1" x14ac:dyDescent="0.25">
      <c r="B39" s="2145" t="s">
        <v>732</v>
      </c>
      <c r="C39" s="2145"/>
      <c r="D39" s="2145"/>
      <c r="E39" s="2145"/>
      <c r="F39" s="2145"/>
      <c r="G39" s="2145"/>
      <c r="H39" s="2145"/>
      <c r="I39" s="2145"/>
      <c r="J39" s="346"/>
      <c r="K39" s="346"/>
      <c r="L39" s="345"/>
      <c r="M39" s="340"/>
      <c r="N39" s="346"/>
    </row>
    <row r="40" spans="2:14" x14ac:dyDescent="0.25">
      <c r="C40" s="354"/>
      <c r="I40" s="344"/>
      <c r="J40" s="340"/>
      <c r="K40" s="340"/>
      <c r="L40" s="355"/>
      <c r="M40" s="340"/>
      <c r="N40" s="340"/>
    </row>
    <row r="41" spans="2:14" s="340" customFormat="1" ht="38.25" customHeight="1" x14ac:dyDescent="0.25">
      <c r="B41" s="1472" t="s">
        <v>733</v>
      </c>
      <c r="C41" s="1472"/>
      <c r="D41" s="1472"/>
      <c r="E41" s="1472"/>
      <c r="F41" s="1472"/>
      <c r="G41" s="1472"/>
      <c r="H41" s="356"/>
      <c r="I41" s="356"/>
      <c r="J41" s="357"/>
      <c r="K41" s="357"/>
      <c r="L41" s="333"/>
      <c r="M41" s="328"/>
      <c r="N41" s="348"/>
    </row>
    <row r="42" spans="2:14" s="340" customFormat="1" ht="69" customHeight="1" x14ac:dyDescent="0.25">
      <c r="B42" s="2149" t="s">
        <v>734</v>
      </c>
      <c r="C42" s="2150" t="s">
        <v>735</v>
      </c>
      <c r="D42" s="2149" t="s">
        <v>736</v>
      </c>
      <c r="E42" s="1275" t="s">
        <v>737</v>
      </c>
      <c r="F42" s="1473" t="s">
        <v>738</v>
      </c>
      <c r="G42" s="1473"/>
      <c r="H42" s="328"/>
      <c r="J42" s="357"/>
      <c r="K42" s="357"/>
      <c r="L42" s="333"/>
      <c r="M42" s="328"/>
      <c r="N42" s="348"/>
    </row>
    <row r="43" spans="2:14" s="340" customFormat="1" ht="52.5" customHeight="1" x14ac:dyDescent="0.25">
      <c r="B43" s="358" t="s">
        <v>1807</v>
      </c>
      <c r="C43" s="2151" t="s">
        <v>739</v>
      </c>
      <c r="D43" s="359" t="s">
        <v>740</v>
      </c>
      <c r="E43" s="2152">
        <v>0.03</v>
      </c>
      <c r="F43" s="2153" t="s">
        <v>741</v>
      </c>
      <c r="G43" s="2153"/>
      <c r="H43" s="328"/>
      <c r="J43" s="357"/>
      <c r="K43" s="357"/>
      <c r="L43" s="333"/>
      <c r="M43" s="328"/>
      <c r="N43" s="348"/>
    </row>
    <row r="44" spans="2:14" s="340" customFormat="1" ht="34.5" customHeight="1" x14ac:dyDescent="0.25">
      <c r="B44" s="358" t="s">
        <v>742</v>
      </c>
      <c r="C44" s="2151" t="s">
        <v>743</v>
      </c>
      <c r="D44" s="360" t="s">
        <v>744</v>
      </c>
      <c r="E44" s="2152">
        <v>2.3E-2</v>
      </c>
      <c r="F44" s="2154" t="s">
        <v>745</v>
      </c>
      <c r="G44" s="2154"/>
      <c r="H44" s="328"/>
      <c r="J44" s="357"/>
      <c r="K44" s="357"/>
      <c r="L44" s="333"/>
      <c r="M44" s="328"/>
      <c r="N44" s="348"/>
    </row>
    <row r="45" spans="2:14" s="340" customFormat="1" ht="31.5" customHeight="1" x14ac:dyDescent="0.25">
      <c r="B45" s="358" t="s">
        <v>746</v>
      </c>
      <c r="C45" s="2151" t="s">
        <v>747</v>
      </c>
      <c r="D45" s="361" t="s">
        <v>748</v>
      </c>
      <c r="E45" s="2152">
        <v>1.7000000000000001E-2</v>
      </c>
      <c r="F45" s="2154"/>
      <c r="G45" s="2154"/>
      <c r="H45" s="328"/>
      <c r="J45" s="357"/>
      <c r="K45" s="357"/>
      <c r="L45" s="333"/>
      <c r="M45" s="328"/>
      <c r="N45" s="348"/>
    </row>
    <row r="46" spans="2:14" ht="12" customHeight="1" x14ac:dyDescent="0.25">
      <c r="B46" s="357"/>
      <c r="C46" s="328"/>
      <c r="D46" s="328"/>
      <c r="E46" s="348"/>
      <c r="F46" s="362"/>
      <c r="G46" s="2155"/>
      <c r="H46" s="352"/>
      <c r="J46" s="357"/>
      <c r="K46" s="357"/>
      <c r="L46" s="328"/>
      <c r="M46" s="328"/>
      <c r="N46" s="348"/>
    </row>
    <row r="47" spans="2:14" ht="113.25" customHeight="1" x14ac:dyDescent="0.25">
      <c r="B47" s="1461" t="s">
        <v>749</v>
      </c>
      <c r="C47" s="1461"/>
      <c r="D47" s="1461"/>
      <c r="E47" s="1461"/>
      <c r="F47" s="1461"/>
      <c r="G47" s="1461"/>
      <c r="H47" s="352"/>
      <c r="J47" s="357"/>
      <c r="K47" s="357"/>
      <c r="L47" s="328"/>
      <c r="M47" s="328"/>
      <c r="N47" s="348"/>
    </row>
    <row r="48" spans="2:14" ht="12" customHeight="1" x14ac:dyDescent="0.25">
      <c r="B48" s="357"/>
      <c r="C48" s="333"/>
      <c r="D48" s="328"/>
      <c r="E48" s="348"/>
      <c r="F48" s="362"/>
      <c r="G48" s="363"/>
      <c r="H48" s="324"/>
      <c r="J48" s="357"/>
      <c r="K48" s="357"/>
      <c r="L48" s="328"/>
      <c r="M48" s="328"/>
      <c r="N48" s="348"/>
    </row>
    <row r="49" spans="2:15" ht="17.25" customHeight="1" x14ac:dyDescent="0.25">
      <c r="B49" s="1462" t="s">
        <v>750</v>
      </c>
      <c r="C49" s="1462"/>
      <c r="D49" s="1462"/>
      <c r="E49" s="1462"/>
      <c r="F49" s="1462"/>
      <c r="G49" s="1462"/>
      <c r="H49" s="324"/>
      <c r="J49" s="357"/>
      <c r="K49" s="357"/>
      <c r="L49" s="328"/>
      <c r="M49" s="328"/>
      <c r="N49" s="348"/>
    </row>
    <row r="50" spans="2:15" ht="42" customHeight="1" x14ac:dyDescent="0.25">
      <c r="B50" s="364" t="s">
        <v>751</v>
      </c>
      <c r="C50" s="2156" t="s">
        <v>736</v>
      </c>
      <c r="D50" s="365" t="s">
        <v>752</v>
      </c>
      <c r="E50" s="365" t="s">
        <v>753</v>
      </c>
      <c r="F50" s="366" t="s">
        <v>754</v>
      </c>
      <c r="G50" s="366" t="s">
        <v>755</v>
      </c>
      <c r="H50" s="324"/>
      <c r="J50" s="357"/>
      <c r="K50" s="357"/>
      <c r="L50" s="328"/>
      <c r="M50" s="328"/>
      <c r="N50" s="348"/>
    </row>
    <row r="51" spans="2:15" ht="23.25" customHeight="1" x14ac:dyDescent="0.25">
      <c r="B51" s="367">
        <f>SUM(B22,D22,F22,H22)</f>
        <v>3</v>
      </c>
      <c r="C51" s="368" t="str">
        <f>IF(ISERROR(B51),"SIN VALOR",IF(AND(B51&gt;=1,B51&lt;8),D43,IF(AND(B51&gt;=8,B51&lt;12),D44,IF(AND(B51&gt;=12),D45))))</f>
        <v>Entre &gt;2,3% y &lt;=3%</v>
      </c>
      <c r="D51" s="2157" t="s">
        <v>728</v>
      </c>
      <c r="E51" s="2158">
        <v>45000000000</v>
      </c>
      <c r="F51" s="368" t="str">
        <f>IF(ISERROR(B51),"SIN VALOR",IF(AND(B51&lt;8),"3%",IF(AND(B51&gt;=8,B51&lt;12),"2,3%",IF(AND(B51&gt;=12),"1,7%"))))</f>
        <v>3%</v>
      </c>
      <c r="G51" s="1153">
        <f>E51*F51</f>
        <v>1350000000</v>
      </c>
      <c r="H51" s="324"/>
      <c r="J51" s="357"/>
      <c r="K51" s="357"/>
      <c r="L51" s="328"/>
      <c r="M51" s="328"/>
      <c r="N51" s="348"/>
    </row>
    <row r="52" spans="2:15" ht="12" customHeight="1" x14ac:dyDescent="0.25">
      <c r="B52" s="357"/>
      <c r="C52" s="333"/>
      <c r="D52" s="328"/>
      <c r="E52" s="348"/>
      <c r="F52" s="362"/>
      <c r="G52" s="363"/>
      <c r="H52" s="324"/>
      <c r="J52" s="357"/>
      <c r="K52" s="357"/>
      <c r="L52" s="328"/>
      <c r="M52" s="328"/>
      <c r="N52" s="348"/>
    </row>
    <row r="53" spans="2:15" ht="60" customHeight="1" x14ac:dyDescent="0.25">
      <c r="B53" s="1461" t="s">
        <v>756</v>
      </c>
      <c r="C53" s="1461"/>
      <c r="D53" s="1461"/>
      <c r="E53" s="1461"/>
      <c r="F53" s="1461"/>
      <c r="G53" s="1461"/>
      <c r="H53" s="324"/>
      <c r="J53" s="357"/>
      <c r="K53" s="357"/>
      <c r="L53" s="328"/>
      <c r="M53" s="328"/>
      <c r="N53" s="348"/>
    </row>
    <row r="54" spans="2:15" ht="12" customHeight="1" x14ac:dyDescent="0.25">
      <c r="B54" s="357"/>
      <c r="C54" s="333"/>
      <c r="D54" s="328"/>
      <c r="E54" s="348"/>
      <c r="F54" s="362"/>
      <c r="G54" s="363"/>
      <c r="H54" s="324"/>
      <c r="J54" s="357"/>
      <c r="K54" s="357"/>
      <c r="L54" s="328"/>
      <c r="M54" s="328"/>
      <c r="N54" s="348"/>
    </row>
    <row r="55" spans="2:15" ht="15.75" x14ac:dyDescent="0.25">
      <c r="B55" s="1463" t="s">
        <v>757</v>
      </c>
      <c r="C55" s="1463"/>
      <c r="D55" s="1463"/>
      <c r="E55" s="1463"/>
      <c r="F55" s="1463"/>
      <c r="G55" s="1463"/>
      <c r="H55" s="1463"/>
      <c r="I55" s="1463"/>
      <c r="J55" s="1463"/>
      <c r="K55" s="1463"/>
      <c r="L55" s="1463"/>
    </row>
    <row r="56" spans="2:15" ht="25.5" customHeight="1" x14ac:dyDescent="0.25">
      <c r="B56" s="323"/>
      <c r="C56" s="352"/>
      <c r="D56" s="323"/>
      <c r="E56" s="352"/>
      <c r="F56" s="1464" t="s">
        <v>758</v>
      </c>
      <c r="G56" s="1465"/>
      <c r="H56" s="1465"/>
      <c r="I56" s="1465"/>
      <c r="J56" s="1465"/>
      <c r="K56" s="1465"/>
      <c r="L56" s="1466"/>
    </row>
    <row r="57" spans="2:15" ht="58.5" customHeight="1" x14ac:dyDescent="0.25">
      <c r="B57" s="1467" t="s">
        <v>759</v>
      </c>
      <c r="C57" s="1467"/>
      <c r="D57" s="1467"/>
      <c r="E57" s="1467"/>
      <c r="F57" s="1468" t="s">
        <v>760</v>
      </c>
      <c r="G57" s="1468"/>
      <c r="H57" s="1468" t="s">
        <v>761</v>
      </c>
      <c r="I57" s="1468"/>
      <c r="J57" s="1468"/>
      <c r="K57" s="1468"/>
      <c r="L57" s="369" t="s">
        <v>762</v>
      </c>
      <c r="M57" s="348"/>
      <c r="N57" s="370"/>
      <c r="O57" s="370"/>
    </row>
    <row r="58" spans="2:15" ht="25.5" x14ac:dyDescent="0.25">
      <c r="B58" s="371" t="s">
        <v>763</v>
      </c>
      <c r="C58" s="1133" t="s">
        <v>764</v>
      </c>
      <c r="D58" s="372" t="str">
        <f>C51</f>
        <v>Entre &gt;2,3% y &lt;=3%</v>
      </c>
      <c r="E58" s="373" t="s">
        <v>765</v>
      </c>
      <c r="F58" s="1469" t="s">
        <v>766</v>
      </c>
      <c r="G58" s="1469"/>
      <c r="H58" s="1470" t="s">
        <v>767</v>
      </c>
      <c r="I58" s="1470"/>
      <c r="J58" s="1470"/>
      <c r="K58" s="1470"/>
      <c r="L58" s="374" t="s">
        <v>768</v>
      </c>
      <c r="M58" s="328"/>
      <c r="N58" s="375"/>
      <c r="O58" s="376"/>
    </row>
    <row r="59" spans="2:15" x14ac:dyDescent="0.25">
      <c r="B59" s="1269" t="str">
        <f>+D51</f>
        <v>Activos</v>
      </c>
      <c r="C59" s="377">
        <f>E51</f>
        <v>45000000000</v>
      </c>
      <c r="D59" s="378" t="str">
        <f>F51</f>
        <v>3%</v>
      </c>
      <c r="E59" s="379" t="s">
        <v>769</v>
      </c>
      <c r="F59" s="380" t="s">
        <v>770</v>
      </c>
      <c r="G59" s="381" t="str">
        <f>D59</f>
        <v>3%</v>
      </c>
      <c r="H59" s="382" t="s">
        <v>771</v>
      </c>
      <c r="I59" s="381" t="str">
        <f>D59</f>
        <v>3%</v>
      </c>
      <c r="J59" s="351" t="s">
        <v>772</v>
      </c>
      <c r="K59" s="378">
        <f>D59*5</f>
        <v>0.15</v>
      </c>
      <c r="L59" s="378">
        <f>D59*5</f>
        <v>0.15</v>
      </c>
      <c r="M59" s="328"/>
      <c r="N59" s="383"/>
      <c r="O59" s="328"/>
    </row>
    <row r="60" spans="2:15" x14ac:dyDescent="0.25">
      <c r="B60" s="384"/>
      <c r="C60" s="377"/>
      <c r="D60" s="385">
        <f>C59*D59</f>
        <v>1350000000</v>
      </c>
      <c r="E60" s="379" t="s">
        <v>773</v>
      </c>
      <c r="F60" s="380" t="s">
        <v>770</v>
      </c>
      <c r="G60" s="386">
        <f>D60</f>
        <v>1350000000</v>
      </c>
      <c r="H60" s="382" t="s">
        <v>771</v>
      </c>
      <c r="I60" s="386">
        <f>D60</f>
        <v>1350000000</v>
      </c>
      <c r="J60" s="351" t="s">
        <v>772</v>
      </c>
      <c r="K60" s="386">
        <f>D60*5</f>
        <v>6750000000</v>
      </c>
      <c r="L60" s="387">
        <f>D60*5</f>
        <v>6750000000</v>
      </c>
      <c r="M60" s="328"/>
      <c r="N60" s="383"/>
      <c r="O60" s="328"/>
    </row>
    <row r="61" spans="2:15" x14ac:dyDescent="0.25">
      <c r="B61" s="323"/>
      <c r="C61" s="323"/>
      <c r="D61" s="323"/>
      <c r="E61" s="323"/>
      <c r="M61" s="340"/>
      <c r="N61" s="340"/>
      <c r="O61" s="340"/>
    </row>
    <row r="63" spans="2:15" s="310" customFormat="1" x14ac:dyDescent="0.25">
      <c r="B63" s="2159" t="s">
        <v>774</v>
      </c>
      <c r="C63" s="2160"/>
      <c r="D63" s="2160"/>
      <c r="E63" s="2160"/>
      <c r="F63" s="2160"/>
      <c r="G63" s="2160"/>
      <c r="H63" s="2160"/>
      <c r="I63" s="2160"/>
      <c r="J63" s="2160"/>
      <c r="K63" s="2160"/>
      <c r="L63" s="2160"/>
      <c r="M63" s="2160"/>
      <c r="N63" s="2161"/>
    </row>
    <row r="64" spans="2:15" s="310" customFormat="1" x14ac:dyDescent="0.25">
      <c r="B64" s="2162"/>
      <c r="C64" s="2163"/>
      <c r="D64" s="2163"/>
      <c r="E64" s="2163"/>
      <c r="F64" s="2163"/>
      <c r="G64" s="2163"/>
      <c r="H64" s="2163"/>
      <c r="I64" s="2163"/>
      <c r="J64" s="2163"/>
      <c r="K64" s="2163"/>
      <c r="L64" s="2163"/>
      <c r="M64" s="2163"/>
      <c r="N64" s="2164"/>
    </row>
    <row r="65" spans="2:14" s="310" customFormat="1" x14ac:dyDescent="0.25">
      <c r="B65" s="2165"/>
      <c r="C65" s="2166"/>
      <c r="D65" s="2166"/>
      <c r="E65" s="2166"/>
      <c r="F65" s="2166"/>
      <c r="G65" s="2166"/>
      <c r="H65" s="2166"/>
      <c r="I65" s="2166"/>
      <c r="J65" s="2166"/>
      <c r="K65" s="2166"/>
      <c r="L65" s="2166"/>
      <c r="M65" s="2166"/>
      <c r="N65" s="2167"/>
    </row>
    <row r="66" spans="2:14" s="310" customFormat="1" ht="15" x14ac:dyDescent="0.25">
      <c r="B66" s="2168" t="s">
        <v>775</v>
      </c>
      <c r="C66" s="2169"/>
      <c r="D66" s="2169"/>
      <c r="E66" s="2169"/>
      <c r="F66" s="2169"/>
      <c r="G66" s="2169"/>
      <c r="H66" s="2169"/>
      <c r="I66" s="2169"/>
      <c r="J66" s="2169"/>
      <c r="K66" s="2170"/>
      <c r="L66" s="2171" t="s">
        <v>776</v>
      </c>
      <c r="M66" s="2171"/>
      <c r="N66" s="2171"/>
    </row>
    <row r="67" spans="2:14" s="310" customFormat="1" ht="15" x14ac:dyDescent="0.25">
      <c r="B67" s="2171" t="s">
        <v>777</v>
      </c>
      <c r="C67" s="2171"/>
      <c r="D67" s="2171"/>
      <c r="E67" s="2171"/>
      <c r="F67" s="2171"/>
      <c r="G67" s="2171"/>
      <c r="H67" s="2171"/>
      <c r="I67" s="2171"/>
      <c r="J67" s="2171"/>
      <c r="K67" s="2171"/>
      <c r="L67" s="2171"/>
      <c r="M67" s="2171"/>
      <c r="N67" s="2171"/>
    </row>
    <row r="68" spans="2:14" s="310" customFormat="1" x14ac:dyDescent="0.25">
      <c r="B68" s="2172" t="s">
        <v>778</v>
      </c>
      <c r="C68" s="2173"/>
      <c r="D68" s="2173"/>
      <c r="E68" s="2173"/>
      <c r="F68" s="2174"/>
      <c r="G68" s="2175" t="s">
        <v>779</v>
      </c>
      <c r="H68" s="2176"/>
      <c r="I68" s="2176"/>
      <c r="J68" s="2176"/>
      <c r="K68" s="2177"/>
      <c r="L68" s="2171" t="s">
        <v>780</v>
      </c>
      <c r="M68" s="2171"/>
      <c r="N68" s="2171"/>
    </row>
    <row r="69" spans="2:14" s="310" customFormat="1" x14ac:dyDescent="0.25">
      <c r="B69" s="2178"/>
      <c r="C69" s="2179"/>
      <c r="D69" s="2179"/>
      <c r="E69" s="2179"/>
      <c r="F69" s="2180"/>
      <c r="G69" s="2181"/>
      <c r="H69" s="2182"/>
      <c r="I69" s="2182"/>
      <c r="J69" s="2182"/>
      <c r="K69" s="2183"/>
      <c r="L69" s="2171"/>
      <c r="M69" s="2171"/>
      <c r="N69" s="2171"/>
    </row>
    <row r="70" spans="2:14" s="310" customFormat="1" ht="15" x14ac:dyDescent="0.25">
      <c r="B70" s="2171" t="s">
        <v>781</v>
      </c>
      <c r="C70" s="2171"/>
      <c r="D70" s="2171"/>
      <c r="E70" s="2171"/>
      <c r="F70" s="2171"/>
      <c r="G70" s="2171"/>
      <c r="H70" s="2171"/>
      <c r="I70" s="2171"/>
      <c r="J70" s="2171"/>
      <c r="K70" s="2171"/>
      <c r="L70" s="2171"/>
      <c r="M70" s="2171"/>
      <c r="N70" s="2171"/>
    </row>
    <row r="71" spans="2:14" s="310" customFormat="1" ht="15" x14ac:dyDescent="0.25">
      <c r="B71" s="2171" t="s">
        <v>778</v>
      </c>
      <c r="C71" s="2171"/>
      <c r="D71" s="2171"/>
      <c r="E71" s="2171"/>
      <c r="F71" s="2171"/>
      <c r="G71" s="2184" t="s">
        <v>782</v>
      </c>
      <c r="H71" s="2185"/>
      <c r="I71" s="2168" t="s">
        <v>783</v>
      </c>
      <c r="J71" s="2169"/>
      <c r="K71" s="2170"/>
      <c r="L71" s="2171" t="s">
        <v>784</v>
      </c>
      <c r="M71" s="2171"/>
      <c r="N71" s="2171"/>
    </row>
    <row r="72" spans="2:14" s="310" customFormat="1" x14ac:dyDescent="0.25"/>
  </sheetData>
  <sheetProtection algorithmName="SHA-512" hashValue="uI5kwxCkKKB9Fz4t5O2ai5g6PtzWk0AZNsgz5kz8buwZ8bixZxZ4JzDVLWs2X5zU/dFf8W65T666IZRIkT63pg==" saltValue="+cs6JxFNPTPUk/Qpv/TgoQ==" spinCount="100000" sheet="1" objects="1" scenarios="1"/>
  <mergeCells count="49">
    <mergeCell ref="B14:I14"/>
    <mergeCell ref="B1:B2"/>
    <mergeCell ref="B3:I3"/>
    <mergeCell ref="B4:I4"/>
    <mergeCell ref="C5:I5"/>
    <mergeCell ref="C6:E6"/>
    <mergeCell ref="G6:I6"/>
    <mergeCell ref="C7:E7"/>
    <mergeCell ref="G7:I7"/>
    <mergeCell ref="B9:I9"/>
    <mergeCell ref="B11:I11"/>
    <mergeCell ref="B13:I13"/>
    <mergeCell ref="C1:H2"/>
    <mergeCell ref="F43:G43"/>
    <mergeCell ref="B15:G15"/>
    <mergeCell ref="H15:I15"/>
    <mergeCell ref="B24:I24"/>
    <mergeCell ref="B27:E27"/>
    <mergeCell ref="B32:I32"/>
    <mergeCell ref="B34:F34"/>
    <mergeCell ref="D35:F35"/>
    <mergeCell ref="D36:F37"/>
    <mergeCell ref="B39:I39"/>
    <mergeCell ref="B41:G41"/>
    <mergeCell ref="F42:G42"/>
    <mergeCell ref="B28:E28"/>
    <mergeCell ref="B63:N65"/>
    <mergeCell ref="F44:G45"/>
    <mergeCell ref="B47:G47"/>
    <mergeCell ref="B49:G49"/>
    <mergeCell ref="B53:G53"/>
    <mergeCell ref="B55:L55"/>
    <mergeCell ref="F56:L56"/>
    <mergeCell ref="B57:E57"/>
    <mergeCell ref="F57:G57"/>
    <mergeCell ref="H57:K57"/>
    <mergeCell ref="F58:G58"/>
    <mergeCell ref="H58:K58"/>
    <mergeCell ref="B66:K66"/>
    <mergeCell ref="L66:N66"/>
    <mergeCell ref="B67:N67"/>
    <mergeCell ref="B68:F69"/>
    <mergeCell ref="G68:K69"/>
    <mergeCell ref="L68:N69"/>
    <mergeCell ref="B70:N70"/>
    <mergeCell ref="B71:F71"/>
    <mergeCell ref="G71:H71"/>
    <mergeCell ref="I71:K71"/>
    <mergeCell ref="L71:N71"/>
  </mergeCells>
  <conditionalFormatting sqref="I1:I2">
    <cfRule type="cellIs" dxfId="230" priority="1" operator="equal">
      <formula>"INEXISTENTE"</formula>
    </cfRule>
    <cfRule type="cellIs" dxfId="229" priority="2" operator="equal">
      <formula>"INADECUADO"</formula>
    </cfRule>
    <cfRule type="cellIs" dxfId="228" priority="3" operator="equal">
      <formula>"PARCIALMENTE ADECUADO"</formula>
    </cfRule>
    <cfRule type="cellIs" dxfId="227" priority="4" operator="equal">
      <formula>"ADECUADO"</formula>
    </cfRule>
    <cfRule type="cellIs" dxfId="226" priority="5" operator="equal">
      <formula>"ERROR"</formula>
    </cfRule>
  </conditionalFormatting>
  <dataValidations disablePrompts="1" count="10">
    <dataValidation type="list" allowBlank="1" showInputMessage="1" showErrorMessage="1" sqref="WVL983057 D30:D31 WLP983057 WBT983057 VRX983057 VIB983057 UYF983057 UOJ983057 UEN983057 TUR983057 TKV983057 TAZ983057 SRD983057 SHH983057 RXL983057 RNP983057 RDT983057 QTX983057 QKB983057 QAF983057 PQJ983057 PGN983057 OWR983057 OMV983057 OCZ983057 NTD983057 NJH983057 MZL983057 MPP983057 MFT983057 LVX983057 LMB983057 LCF983057 KSJ983057 KIN983057 JYR983057 JOV983057 JEZ983057 IVD983057 ILH983057 IBL983057 HRP983057 HHT983057 GXX983057 GOB983057 GEF983057 FUJ983057 FKN983057 FAR983057 EQV983057 EGZ983057 DXD983057 DNH983057 DDL983057 CTP983057 CJT983057 BZX983057 BQB983057 BGF983057 AWJ983057 AMN983057 ACR983057 SV983057 IZ983057 D983057 WVL917521 WLP917521 WBT917521 VRX917521 VIB917521 UYF917521 UOJ917521 UEN917521 TUR917521 TKV917521 TAZ917521 SRD917521 SHH917521 RXL917521 RNP917521 RDT917521 QTX917521 QKB917521 QAF917521 PQJ917521 PGN917521 OWR917521 OMV917521 OCZ917521 NTD917521 NJH917521 MZL917521 MPP917521 MFT917521 LVX917521 LMB917521 LCF917521 KSJ917521 KIN917521 JYR917521 JOV917521 JEZ917521 IVD917521 ILH917521 IBL917521 HRP917521 HHT917521 GXX917521 GOB917521 GEF917521 FUJ917521 FKN917521 FAR917521 EQV917521 EGZ917521 DXD917521 DNH917521 DDL917521 CTP917521 CJT917521 BZX917521 BQB917521 BGF917521 AWJ917521 AMN917521 ACR917521 SV917521 IZ917521 D917521 WVL851985 WLP851985 WBT851985 VRX851985 VIB851985 UYF851985 UOJ851985 UEN851985 TUR851985 TKV851985 TAZ851985 SRD851985 SHH851985 RXL851985 RNP851985 RDT851985 QTX851985 QKB851985 QAF851985 PQJ851985 PGN851985 OWR851985 OMV851985 OCZ851985 NTD851985 NJH851985 MZL851985 MPP851985 MFT851985 LVX851985 LMB851985 LCF851985 KSJ851985 KIN851985 JYR851985 JOV851985 JEZ851985 IVD851985 ILH851985 IBL851985 HRP851985 HHT851985 GXX851985 GOB851985 GEF851985 FUJ851985 FKN851985 FAR851985 EQV851985 EGZ851985 DXD851985 DNH851985 DDL851985 CTP851985 CJT851985 BZX851985 BQB851985 BGF851985 AWJ851985 AMN851985 ACR851985 SV851985 IZ851985 D851985 WVL786449 WLP786449 WBT786449 VRX786449 VIB786449 UYF786449 UOJ786449 UEN786449 TUR786449 TKV786449 TAZ786449 SRD786449 SHH786449 RXL786449 RNP786449 RDT786449 QTX786449 QKB786449 QAF786449 PQJ786449 PGN786449 OWR786449 OMV786449 OCZ786449 NTD786449 NJH786449 MZL786449 MPP786449 MFT786449 LVX786449 LMB786449 LCF786449 KSJ786449 KIN786449 JYR786449 JOV786449 JEZ786449 IVD786449 ILH786449 IBL786449 HRP786449 HHT786449 GXX786449 GOB786449 GEF786449 FUJ786449 FKN786449 FAR786449 EQV786449 EGZ786449 DXD786449 DNH786449 DDL786449 CTP786449 CJT786449 BZX786449 BQB786449 BGF786449 AWJ786449 AMN786449 ACR786449 SV786449 IZ786449 D786449 WVL720913 WLP720913 WBT720913 VRX720913 VIB720913 UYF720913 UOJ720913 UEN720913 TUR720913 TKV720913 TAZ720913 SRD720913 SHH720913 RXL720913 RNP720913 RDT720913 QTX720913 QKB720913 QAF720913 PQJ720913 PGN720913 OWR720913 OMV720913 OCZ720913 NTD720913 NJH720913 MZL720913 MPP720913 MFT720913 LVX720913 LMB720913 LCF720913 KSJ720913 KIN720913 JYR720913 JOV720913 JEZ720913 IVD720913 ILH720913 IBL720913 HRP720913 HHT720913 GXX720913 GOB720913 GEF720913 FUJ720913 FKN720913 FAR720913 EQV720913 EGZ720913 DXD720913 DNH720913 DDL720913 CTP720913 CJT720913 BZX720913 BQB720913 BGF720913 AWJ720913 AMN720913 ACR720913 SV720913 IZ720913 D720913 WVL655377 WLP655377 WBT655377 VRX655377 VIB655377 UYF655377 UOJ655377 UEN655377 TUR655377 TKV655377 TAZ655377 SRD655377 SHH655377 RXL655377 RNP655377 RDT655377 QTX655377 QKB655377 QAF655377 PQJ655377 PGN655377 OWR655377 OMV655377 OCZ655377 NTD655377 NJH655377 MZL655377 MPP655377 MFT655377 LVX655377 LMB655377 LCF655377 KSJ655377 KIN655377 JYR655377 JOV655377 JEZ655377 IVD655377 ILH655377 IBL655377 HRP655377 HHT655377 GXX655377 GOB655377 GEF655377 FUJ655377 FKN655377 FAR655377 EQV655377 EGZ655377 DXD655377 DNH655377 DDL655377 CTP655377 CJT655377 BZX655377 BQB655377 BGF655377 AWJ655377 AMN655377 ACR655377 SV655377 IZ655377 D655377 WVL589841 WLP589841 WBT589841 VRX589841 VIB589841 UYF589841 UOJ589841 UEN589841 TUR589841 TKV589841 TAZ589841 SRD589841 SHH589841 RXL589841 RNP589841 RDT589841 QTX589841 QKB589841 QAF589841 PQJ589841 PGN589841 OWR589841 OMV589841 OCZ589841 NTD589841 NJH589841 MZL589841 MPP589841 MFT589841 LVX589841 LMB589841 LCF589841 KSJ589841 KIN589841 JYR589841 JOV589841 JEZ589841 IVD589841 ILH589841 IBL589841 HRP589841 HHT589841 GXX589841 GOB589841 GEF589841 FUJ589841 FKN589841 FAR589841 EQV589841 EGZ589841 DXD589841 DNH589841 DDL589841 CTP589841 CJT589841 BZX589841 BQB589841 BGF589841 AWJ589841 AMN589841 ACR589841 SV589841 IZ589841 D589841 WVL524305 WLP524305 WBT524305 VRX524305 VIB524305 UYF524305 UOJ524305 UEN524305 TUR524305 TKV524305 TAZ524305 SRD524305 SHH524305 RXL524305 RNP524305 RDT524305 QTX524305 QKB524305 QAF524305 PQJ524305 PGN524305 OWR524305 OMV524305 OCZ524305 NTD524305 NJH524305 MZL524305 MPP524305 MFT524305 LVX524305 LMB524305 LCF524305 KSJ524305 KIN524305 JYR524305 JOV524305 JEZ524305 IVD524305 ILH524305 IBL524305 HRP524305 HHT524305 GXX524305 GOB524305 GEF524305 FUJ524305 FKN524305 FAR524305 EQV524305 EGZ524305 DXD524305 DNH524305 DDL524305 CTP524305 CJT524305 BZX524305 BQB524305 BGF524305 AWJ524305 AMN524305 ACR524305 SV524305 IZ524305 D524305 WVL458769 WLP458769 WBT458769 VRX458769 VIB458769 UYF458769 UOJ458769 UEN458769 TUR458769 TKV458769 TAZ458769 SRD458769 SHH458769 RXL458769 RNP458769 RDT458769 QTX458769 QKB458769 QAF458769 PQJ458769 PGN458769 OWR458769 OMV458769 OCZ458769 NTD458769 NJH458769 MZL458769 MPP458769 MFT458769 LVX458769 LMB458769 LCF458769 KSJ458769 KIN458769 JYR458769 JOV458769 JEZ458769 IVD458769 ILH458769 IBL458769 HRP458769 HHT458769 GXX458769 GOB458769 GEF458769 FUJ458769 FKN458769 FAR458769 EQV458769 EGZ458769 DXD458769 DNH458769 DDL458769 CTP458769 CJT458769 BZX458769 BQB458769 BGF458769 AWJ458769 AMN458769 ACR458769 SV458769 IZ458769 D458769 WVL393233 WLP393233 WBT393233 VRX393233 VIB393233 UYF393233 UOJ393233 UEN393233 TUR393233 TKV393233 TAZ393233 SRD393233 SHH393233 RXL393233 RNP393233 RDT393233 QTX393233 QKB393233 QAF393233 PQJ393233 PGN393233 OWR393233 OMV393233 OCZ393233 NTD393233 NJH393233 MZL393233 MPP393233 MFT393233 LVX393233 LMB393233 LCF393233 KSJ393233 KIN393233 JYR393233 JOV393233 JEZ393233 IVD393233 ILH393233 IBL393233 HRP393233 HHT393233 GXX393233 GOB393233 GEF393233 FUJ393233 FKN393233 FAR393233 EQV393233 EGZ393233 DXD393233 DNH393233 DDL393233 CTP393233 CJT393233 BZX393233 BQB393233 BGF393233 AWJ393233 AMN393233 ACR393233 SV393233 IZ393233 D393233 WVL327697 WLP327697 WBT327697 VRX327697 VIB327697 UYF327697 UOJ327697 UEN327697 TUR327697 TKV327697 TAZ327697 SRD327697 SHH327697 RXL327697 RNP327697 RDT327697 QTX327697 QKB327697 QAF327697 PQJ327697 PGN327697 OWR327697 OMV327697 OCZ327697 NTD327697 NJH327697 MZL327697 MPP327697 MFT327697 LVX327697 LMB327697 LCF327697 KSJ327697 KIN327697 JYR327697 JOV327697 JEZ327697 IVD327697 ILH327697 IBL327697 HRP327697 HHT327697 GXX327697 GOB327697 GEF327697 FUJ327697 FKN327697 FAR327697 EQV327697 EGZ327697 DXD327697 DNH327697 DDL327697 CTP327697 CJT327697 BZX327697 BQB327697 BGF327697 AWJ327697 AMN327697 ACR327697 SV327697 IZ327697 D327697 WVL262161 WLP262161 WBT262161 VRX262161 VIB262161 UYF262161 UOJ262161 UEN262161 TUR262161 TKV262161 TAZ262161 SRD262161 SHH262161 RXL262161 RNP262161 RDT262161 QTX262161 QKB262161 QAF262161 PQJ262161 PGN262161 OWR262161 OMV262161 OCZ262161 NTD262161 NJH262161 MZL262161 MPP262161 MFT262161 LVX262161 LMB262161 LCF262161 KSJ262161 KIN262161 JYR262161 JOV262161 JEZ262161 IVD262161 ILH262161 IBL262161 HRP262161 HHT262161 GXX262161 GOB262161 GEF262161 FUJ262161 FKN262161 FAR262161 EQV262161 EGZ262161 DXD262161 DNH262161 DDL262161 CTP262161 CJT262161 BZX262161 BQB262161 BGF262161 AWJ262161 AMN262161 ACR262161 SV262161 IZ262161 D262161 WVL196625 WLP196625 WBT196625 VRX196625 VIB196625 UYF196625 UOJ196625 UEN196625 TUR196625 TKV196625 TAZ196625 SRD196625 SHH196625 RXL196625 RNP196625 RDT196625 QTX196625 QKB196625 QAF196625 PQJ196625 PGN196625 OWR196625 OMV196625 OCZ196625 NTD196625 NJH196625 MZL196625 MPP196625 MFT196625 LVX196625 LMB196625 LCF196625 KSJ196625 KIN196625 JYR196625 JOV196625 JEZ196625 IVD196625 ILH196625 IBL196625 HRP196625 HHT196625 GXX196625 GOB196625 GEF196625 FUJ196625 FKN196625 FAR196625 EQV196625 EGZ196625 DXD196625 DNH196625 DDL196625 CTP196625 CJT196625 BZX196625 BQB196625 BGF196625 AWJ196625 AMN196625 ACR196625 SV196625 IZ196625 D196625 WVL131089 WLP131089 WBT131089 VRX131089 VIB131089 UYF131089 UOJ131089 UEN131089 TUR131089 TKV131089 TAZ131089 SRD131089 SHH131089 RXL131089 RNP131089 RDT131089 QTX131089 QKB131089 QAF131089 PQJ131089 PGN131089 OWR131089 OMV131089 OCZ131089 NTD131089 NJH131089 MZL131089 MPP131089 MFT131089 LVX131089 LMB131089 LCF131089 KSJ131089 KIN131089 JYR131089 JOV131089 JEZ131089 IVD131089 ILH131089 IBL131089 HRP131089 HHT131089 GXX131089 GOB131089 GEF131089 FUJ131089 FKN131089 FAR131089 EQV131089 EGZ131089 DXD131089 DNH131089 DDL131089 CTP131089 CJT131089 BZX131089 BQB131089 BGF131089 AWJ131089 AMN131089 ACR131089 SV131089 IZ131089 D131089 WVL65553 WLP65553 WBT65553 VRX65553 VIB65553 UYF65553 UOJ65553 UEN65553 TUR65553 TKV65553 TAZ65553 SRD65553 SHH65553 RXL65553 RNP65553 RDT65553 QTX65553 QKB65553 QAF65553 PQJ65553 PGN65553 OWR65553 OMV65553 OCZ65553 NTD65553 NJH65553 MZL65553 MPP65553 MFT65553 LVX65553 LMB65553 LCF65553 KSJ65553 KIN65553 JYR65553 JOV65553 JEZ65553 IVD65553 ILH65553 IBL65553 HRP65553 HHT65553 GXX65553 GOB65553 GEF65553 FUJ65553 FKN65553 FAR65553 EQV65553 EGZ65553 DXD65553 DNH65553 DDL65553 CTP65553 CJT65553 BZX65553 BQB65553 BGF65553 AWJ65553 AMN65553 ACR65553 SV65553 IZ65553 D65553 WVL30:WVL32 WLP30:WLP32 WBT30:WBT32 VRX30:VRX32 VIB30:VIB32 UYF30:UYF32 UOJ30:UOJ32 UEN30:UEN32 TUR30:TUR32 TKV30:TKV32 TAZ30:TAZ32 SRD30:SRD32 SHH30:SHH32 RXL30:RXL32 RNP30:RNP32 RDT30:RDT32 QTX30:QTX32 QKB30:QKB32 QAF30:QAF32 PQJ30:PQJ32 PGN30:PGN32 OWR30:OWR32 OMV30:OMV32 OCZ30:OCZ32 NTD30:NTD32 NJH30:NJH32 MZL30:MZL32 MPP30:MPP32 MFT30:MFT32 LVX30:LVX32 LMB30:LMB32 LCF30:LCF32 KSJ30:KSJ32 KIN30:KIN32 JYR30:JYR32 JOV30:JOV32 JEZ30:JEZ32 IVD30:IVD32 ILH30:ILH32 IBL30:IBL32 HRP30:HRP32 HHT30:HHT32 GXX30:GXX32 GOB30:GOB32 GEF30:GEF32 FUJ30:FUJ32 FKN30:FKN32 FAR30:FAR32 EQV30:EQV32 EGZ30:EGZ32 DXD30:DXD32 DNH30:DNH32 DDL30:DDL32 CTP30:CTP32 CJT30:CJT32 BZX30:BZX32 BQB30:BQB32 BGF30:BGF32 AWJ30:AWJ32 AMN30:AMN32 ACR30:ACR32 SV30:SV32 IZ30:IZ32">
      <formula1>$F$17:$F$19</formula1>
    </dataValidation>
    <dataValidation type="list" allowBlank="1" showInputMessage="1" showErrorMessage="1" sqref="IY30:IY32 WVK983057 WLO983057 WBS983057 VRW983057 VIA983057 UYE983057 UOI983057 UEM983057 TUQ983057 TKU983057 TAY983057 SRC983057 SHG983057 RXK983057 RNO983057 RDS983057 QTW983057 QKA983057 QAE983057 PQI983057 PGM983057 OWQ983057 OMU983057 OCY983057 NTC983057 NJG983057 MZK983057 MPO983057 MFS983057 LVW983057 LMA983057 LCE983057 KSI983057 KIM983057 JYQ983057 JOU983057 JEY983057 IVC983057 ILG983057 IBK983057 HRO983057 HHS983057 GXW983057 GOA983057 GEE983057 FUI983057 FKM983057 FAQ983057 EQU983057 EGY983057 DXC983057 DNG983057 DDK983057 CTO983057 CJS983057 BZW983057 BQA983057 BGE983057 AWI983057 AMM983057 ACQ983057 SU983057 IY983057 C983057 WVK917521 WLO917521 WBS917521 VRW917521 VIA917521 UYE917521 UOI917521 UEM917521 TUQ917521 TKU917521 TAY917521 SRC917521 SHG917521 RXK917521 RNO917521 RDS917521 QTW917521 QKA917521 QAE917521 PQI917521 PGM917521 OWQ917521 OMU917521 OCY917521 NTC917521 NJG917521 MZK917521 MPO917521 MFS917521 LVW917521 LMA917521 LCE917521 KSI917521 KIM917521 JYQ917521 JOU917521 JEY917521 IVC917521 ILG917521 IBK917521 HRO917521 HHS917521 GXW917521 GOA917521 GEE917521 FUI917521 FKM917521 FAQ917521 EQU917521 EGY917521 DXC917521 DNG917521 DDK917521 CTO917521 CJS917521 BZW917521 BQA917521 BGE917521 AWI917521 AMM917521 ACQ917521 SU917521 IY917521 C917521 WVK851985 WLO851985 WBS851985 VRW851985 VIA851985 UYE851985 UOI851985 UEM851985 TUQ851985 TKU851985 TAY851985 SRC851985 SHG851985 RXK851985 RNO851985 RDS851985 QTW851985 QKA851985 QAE851985 PQI851985 PGM851985 OWQ851985 OMU851985 OCY851985 NTC851985 NJG851985 MZK851985 MPO851985 MFS851985 LVW851985 LMA851985 LCE851985 KSI851985 KIM851985 JYQ851985 JOU851985 JEY851985 IVC851985 ILG851985 IBK851985 HRO851985 HHS851985 GXW851985 GOA851985 GEE851985 FUI851985 FKM851985 FAQ851985 EQU851985 EGY851985 DXC851985 DNG851985 DDK851985 CTO851985 CJS851985 BZW851985 BQA851985 BGE851985 AWI851985 AMM851985 ACQ851985 SU851985 IY851985 C851985 WVK786449 WLO786449 WBS786449 VRW786449 VIA786449 UYE786449 UOI786449 UEM786449 TUQ786449 TKU786449 TAY786449 SRC786449 SHG786449 RXK786449 RNO786449 RDS786449 QTW786449 QKA786449 QAE786449 PQI786449 PGM786449 OWQ786449 OMU786449 OCY786449 NTC786449 NJG786449 MZK786449 MPO786449 MFS786449 LVW786449 LMA786449 LCE786449 KSI786449 KIM786449 JYQ786449 JOU786449 JEY786449 IVC786449 ILG786449 IBK786449 HRO786449 HHS786449 GXW786449 GOA786449 GEE786449 FUI786449 FKM786449 FAQ786449 EQU786449 EGY786449 DXC786449 DNG786449 DDK786449 CTO786449 CJS786449 BZW786449 BQA786449 BGE786449 AWI786449 AMM786449 ACQ786449 SU786449 IY786449 C786449 WVK720913 WLO720913 WBS720913 VRW720913 VIA720913 UYE720913 UOI720913 UEM720913 TUQ720913 TKU720913 TAY720913 SRC720913 SHG720913 RXK720913 RNO720913 RDS720913 QTW720913 QKA720913 QAE720913 PQI720913 PGM720913 OWQ720913 OMU720913 OCY720913 NTC720913 NJG720913 MZK720913 MPO720913 MFS720913 LVW720913 LMA720913 LCE720913 KSI720913 KIM720913 JYQ720913 JOU720913 JEY720913 IVC720913 ILG720913 IBK720913 HRO720913 HHS720913 GXW720913 GOA720913 GEE720913 FUI720913 FKM720913 FAQ720913 EQU720913 EGY720913 DXC720913 DNG720913 DDK720913 CTO720913 CJS720913 BZW720913 BQA720913 BGE720913 AWI720913 AMM720913 ACQ720913 SU720913 IY720913 C720913 WVK655377 WLO655377 WBS655377 VRW655377 VIA655377 UYE655377 UOI655377 UEM655377 TUQ655377 TKU655377 TAY655377 SRC655377 SHG655377 RXK655377 RNO655377 RDS655377 QTW655377 QKA655377 QAE655377 PQI655377 PGM655377 OWQ655377 OMU655377 OCY655377 NTC655377 NJG655377 MZK655377 MPO655377 MFS655377 LVW655377 LMA655377 LCE655377 KSI655377 KIM655377 JYQ655377 JOU655377 JEY655377 IVC655377 ILG655377 IBK655377 HRO655377 HHS655377 GXW655377 GOA655377 GEE655377 FUI655377 FKM655377 FAQ655377 EQU655377 EGY655377 DXC655377 DNG655377 DDK655377 CTO655377 CJS655377 BZW655377 BQA655377 BGE655377 AWI655377 AMM655377 ACQ655377 SU655377 IY655377 C655377 WVK589841 WLO589841 WBS589841 VRW589841 VIA589841 UYE589841 UOI589841 UEM589841 TUQ589841 TKU589841 TAY589841 SRC589841 SHG589841 RXK589841 RNO589841 RDS589841 QTW589841 QKA589841 QAE589841 PQI589841 PGM589841 OWQ589841 OMU589841 OCY589841 NTC589841 NJG589841 MZK589841 MPO589841 MFS589841 LVW589841 LMA589841 LCE589841 KSI589841 KIM589841 JYQ589841 JOU589841 JEY589841 IVC589841 ILG589841 IBK589841 HRO589841 HHS589841 GXW589841 GOA589841 GEE589841 FUI589841 FKM589841 FAQ589841 EQU589841 EGY589841 DXC589841 DNG589841 DDK589841 CTO589841 CJS589841 BZW589841 BQA589841 BGE589841 AWI589841 AMM589841 ACQ589841 SU589841 IY589841 C589841 WVK524305 WLO524305 WBS524305 VRW524305 VIA524305 UYE524305 UOI524305 UEM524305 TUQ524305 TKU524305 TAY524305 SRC524305 SHG524305 RXK524305 RNO524305 RDS524305 QTW524305 QKA524305 QAE524305 PQI524305 PGM524305 OWQ524305 OMU524305 OCY524305 NTC524305 NJG524305 MZK524305 MPO524305 MFS524305 LVW524305 LMA524305 LCE524305 KSI524305 KIM524305 JYQ524305 JOU524305 JEY524305 IVC524305 ILG524305 IBK524305 HRO524305 HHS524305 GXW524305 GOA524305 GEE524305 FUI524305 FKM524305 FAQ524305 EQU524305 EGY524305 DXC524305 DNG524305 DDK524305 CTO524305 CJS524305 BZW524305 BQA524305 BGE524305 AWI524305 AMM524305 ACQ524305 SU524305 IY524305 C524305 WVK458769 WLO458769 WBS458769 VRW458769 VIA458769 UYE458769 UOI458769 UEM458769 TUQ458769 TKU458769 TAY458769 SRC458769 SHG458769 RXK458769 RNO458769 RDS458769 QTW458769 QKA458769 QAE458769 PQI458769 PGM458769 OWQ458769 OMU458769 OCY458769 NTC458769 NJG458769 MZK458769 MPO458769 MFS458769 LVW458769 LMA458769 LCE458769 KSI458769 KIM458769 JYQ458769 JOU458769 JEY458769 IVC458769 ILG458769 IBK458769 HRO458769 HHS458769 GXW458769 GOA458769 GEE458769 FUI458769 FKM458769 FAQ458769 EQU458769 EGY458769 DXC458769 DNG458769 DDK458769 CTO458769 CJS458769 BZW458769 BQA458769 BGE458769 AWI458769 AMM458769 ACQ458769 SU458769 IY458769 C458769 WVK393233 WLO393233 WBS393233 VRW393233 VIA393233 UYE393233 UOI393233 UEM393233 TUQ393233 TKU393233 TAY393233 SRC393233 SHG393233 RXK393233 RNO393233 RDS393233 QTW393233 QKA393233 QAE393233 PQI393233 PGM393233 OWQ393233 OMU393233 OCY393233 NTC393233 NJG393233 MZK393233 MPO393233 MFS393233 LVW393233 LMA393233 LCE393233 KSI393233 KIM393233 JYQ393233 JOU393233 JEY393233 IVC393233 ILG393233 IBK393233 HRO393233 HHS393233 GXW393233 GOA393233 GEE393233 FUI393233 FKM393233 FAQ393233 EQU393233 EGY393233 DXC393233 DNG393233 DDK393233 CTO393233 CJS393233 BZW393233 BQA393233 BGE393233 AWI393233 AMM393233 ACQ393233 SU393233 IY393233 C393233 WVK327697 WLO327697 WBS327697 VRW327697 VIA327697 UYE327697 UOI327697 UEM327697 TUQ327697 TKU327697 TAY327697 SRC327697 SHG327697 RXK327697 RNO327697 RDS327697 QTW327697 QKA327697 QAE327697 PQI327697 PGM327697 OWQ327697 OMU327697 OCY327697 NTC327697 NJG327697 MZK327697 MPO327697 MFS327697 LVW327697 LMA327697 LCE327697 KSI327697 KIM327697 JYQ327697 JOU327697 JEY327697 IVC327697 ILG327697 IBK327697 HRO327697 HHS327697 GXW327697 GOA327697 GEE327697 FUI327697 FKM327697 FAQ327697 EQU327697 EGY327697 DXC327697 DNG327697 DDK327697 CTO327697 CJS327697 BZW327697 BQA327697 BGE327697 AWI327697 AMM327697 ACQ327697 SU327697 IY327697 C327697 WVK262161 WLO262161 WBS262161 VRW262161 VIA262161 UYE262161 UOI262161 UEM262161 TUQ262161 TKU262161 TAY262161 SRC262161 SHG262161 RXK262161 RNO262161 RDS262161 QTW262161 QKA262161 QAE262161 PQI262161 PGM262161 OWQ262161 OMU262161 OCY262161 NTC262161 NJG262161 MZK262161 MPO262161 MFS262161 LVW262161 LMA262161 LCE262161 KSI262161 KIM262161 JYQ262161 JOU262161 JEY262161 IVC262161 ILG262161 IBK262161 HRO262161 HHS262161 GXW262161 GOA262161 GEE262161 FUI262161 FKM262161 FAQ262161 EQU262161 EGY262161 DXC262161 DNG262161 DDK262161 CTO262161 CJS262161 BZW262161 BQA262161 BGE262161 AWI262161 AMM262161 ACQ262161 SU262161 IY262161 C262161 WVK196625 WLO196625 WBS196625 VRW196625 VIA196625 UYE196625 UOI196625 UEM196625 TUQ196625 TKU196625 TAY196625 SRC196625 SHG196625 RXK196625 RNO196625 RDS196625 QTW196625 QKA196625 QAE196625 PQI196625 PGM196625 OWQ196625 OMU196625 OCY196625 NTC196625 NJG196625 MZK196625 MPO196625 MFS196625 LVW196625 LMA196625 LCE196625 KSI196625 KIM196625 JYQ196625 JOU196625 JEY196625 IVC196625 ILG196625 IBK196625 HRO196625 HHS196625 GXW196625 GOA196625 GEE196625 FUI196625 FKM196625 FAQ196625 EQU196625 EGY196625 DXC196625 DNG196625 DDK196625 CTO196625 CJS196625 BZW196625 BQA196625 BGE196625 AWI196625 AMM196625 ACQ196625 SU196625 IY196625 C196625 WVK131089 WLO131089 WBS131089 VRW131089 VIA131089 UYE131089 UOI131089 UEM131089 TUQ131089 TKU131089 TAY131089 SRC131089 SHG131089 RXK131089 RNO131089 RDS131089 QTW131089 QKA131089 QAE131089 PQI131089 PGM131089 OWQ131089 OMU131089 OCY131089 NTC131089 NJG131089 MZK131089 MPO131089 MFS131089 LVW131089 LMA131089 LCE131089 KSI131089 KIM131089 JYQ131089 JOU131089 JEY131089 IVC131089 ILG131089 IBK131089 HRO131089 HHS131089 GXW131089 GOA131089 GEE131089 FUI131089 FKM131089 FAQ131089 EQU131089 EGY131089 DXC131089 DNG131089 DDK131089 CTO131089 CJS131089 BZW131089 BQA131089 BGE131089 AWI131089 AMM131089 ACQ131089 SU131089 IY131089 C131089 WVK65553 WLO65553 WBS65553 VRW65553 VIA65553 UYE65553 UOI65553 UEM65553 TUQ65553 TKU65553 TAY65553 SRC65553 SHG65553 RXK65553 RNO65553 RDS65553 QTW65553 QKA65553 QAE65553 PQI65553 PGM65553 OWQ65553 OMU65553 OCY65553 NTC65553 NJG65553 MZK65553 MPO65553 MFS65553 LVW65553 LMA65553 LCE65553 KSI65553 KIM65553 JYQ65553 JOU65553 JEY65553 IVC65553 ILG65553 IBK65553 HRO65553 HHS65553 GXW65553 GOA65553 GEE65553 FUI65553 FKM65553 FAQ65553 EQU65553 EGY65553 DXC65553 DNG65553 DDK65553 CTO65553 CJS65553 BZW65553 BQA65553 BGE65553 AWI65553 AMM65553 ACQ65553 SU65553 IY65553 C65553 WVK30:WVK32 WLO30:WLO32 WBS30:WBS32 VRW30:VRW32 VIA30:VIA32 UYE30:UYE32 UOI30:UOI32 UEM30:UEM32 TUQ30:TUQ32 TKU30:TKU32 TAY30:TAY32 SRC30:SRC32 SHG30:SHG32 RXK30:RXK32 RNO30:RNO32 RDS30:RDS32 QTW30:QTW32 QKA30:QKA32 QAE30:QAE32 PQI30:PQI32 PGM30:PGM32 OWQ30:OWQ32 OMU30:OMU32 OCY30:OCY32 NTC30:NTC32 NJG30:NJG32 MZK30:MZK32 MPO30:MPO32 MFS30:MFS32 LVW30:LVW32 LMA30:LMA32 LCE30:LCE32 KSI30:KSI32 KIM30:KIM32 JYQ30:JYQ32 JOU30:JOU32 JEY30:JEY32 IVC30:IVC32 ILG30:ILG32 IBK30:IBK32 HRO30:HRO32 HHS30:HHS32 GXW30:GXW32 GOA30:GOA32 GEE30:GEE32 FUI30:FUI32 FKM30:FKM32 FAQ30:FAQ32 EQU30:EQU32 EGY30:EGY32 DXC30:DXC32 DNG30:DNG32 DDK30:DDK32 CTO30:CTO32 CJS30:CJS32 BZW30:BZW32 BQA30:BQA32 BGE30:BGE32 AWI30:AWI32 AMM30:AMM32 ACQ30:ACQ32 SU30:SU32">
      <formula1>$D$17:$D$20</formula1>
    </dataValidation>
    <dataValidation type="list" allowBlank="1" showInputMessage="1" showErrorMessage="1" sqref="WVJ983057 B30:B31 WLN983057 WBR983057 VRV983057 VHZ983057 UYD983057 UOH983057 UEL983057 TUP983057 TKT983057 TAX983057 SRB983057 SHF983057 RXJ983057 RNN983057 RDR983057 QTV983057 QJZ983057 QAD983057 PQH983057 PGL983057 OWP983057 OMT983057 OCX983057 NTB983057 NJF983057 MZJ983057 MPN983057 MFR983057 LVV983057 LLZ983057 LCD983057 KSH983057 KIL983057 JYP983057 JOT983057 JEX983057 IVB983057 ILF983057 IBJ983057 HRN983057 HHR983057 GXV983057 GNZ983057 GED983057 FUH983057 FKL983057 FAP983057 EQT983057 EGX983057 DXB983057 DNF983057 DDJ983057 CTN983057 CJR983057 BZV983057 BPZ983057 BGD983057 AWH983057 AML983057 ACP983057 ST983057 IX983057 B983057 WVJ917521 WLN917521 WBR917521 VRV917521 VHZ917521 UYD917521 UOH917521 UEL917521 TUP917521 TKT917521 TAX917521 SRB917521 SHF917521 RXJ917521 RNN917521 RDR917521 QTV917521 QJZ917521 QAD917521 PQH917521 PGL917521 OWP917521 OMT917521 OCX917521 NTB917521 NJF917521 MZJ917521 MPN917521 MFR917521 LVV917521 LLZ917521 LCD917521 KSH917521 KIL917521 JYP917521 JOT917521 JEX917521 IVB917521 ILF917521 IBJ917521 HRN917521 HHR917521 GXV917521 GNZ917521 GED917521 FUH917521 FKL917521 FAP917521 EQT917521 EGX917521 DXB917521 DNF917521 DDJ917521 CTN917521 CJR917521 BZV917521 BPZ917521 BGD917521 AWH917521 AML917521 ACP917521 ST917521 IX917521 B917521 WVJ851985 WLN851985 WBR851985 VRV851985 VHZ851985 UYD851985 UOH851985 UEL851985 TUP851985 TKT851985 TAX851985 SRB851985 SHF851985 RXJ851985 RNN851985 RDR851985 QTV851985 QJZ851985 QAD851985 PQH851985 PGL851985 OWP851985 OMT851985 OCX851985 NTB851985 NJF851985 MZJ851985 MPN851985 MFR851985 LVV851985 LLZ851985 LCD851985 KSH851985 KIL851985 JYP851985 JOT851985 JEX851985 IVB851985 ILF851985 IBJ851985 HRN851985 HHR851985 GXV851985 GNZ851985 GED851985 FUH851985 FKL851985 FAP851985 EQT851985 EGX851985 DXB851985 DNF851985 DDJ851985 CTN851985 CJR851985 BZV851985 BPZ851985 BGD851985 AWH851985 AML851985 ACP851985 ST851985 IX851985 B851985 WVJ786449 WLN786449 WBR786449 VRV786449 VHZ786449 UYD786449 UOH786449 UEL786449 TUP786449 TKT786449 TAX786449 SRB786449 SHF786449 RXJ786449 RNN786449 RDR786449 QTV786449 QJZ786449 QAD786449 PQH786449 PGL786449 OWP786449 OMT786449 OCX786449 NTB786449 NJF786449 MZJ786449 MPN786449 MFR786449 LVV786449 LLZ786449 LCD786449 KSH786449 KIL786449 JYP786449 JOT786449 JEX786449 IVB786449 ILF786449 IBJ786449 HRN786449 HHR786449 GXV786449 GNZ786449 GED786449 FUH786449 FKL786449 FAP786449 EQT786449 EGX786449 DXB786449 DNF786449 DDJ786449 CTN786449 CJR786449 BZV786449 BPZ786449 BGD786449 AWH786449 AML786449 ACP786449 ST786449 IX786449 B786449 WVJ720913 WLN720913 WBR720913 VRV720913 VHZ720913 UYD720913 UOH720913 UEL720913 TUP720913 TKT720913 TAX720913 SRB720913 SHF720913 RXJ720913 RNN720913 RDR720913 QTV720913 QJZ720913 QAD720913 PQH720913 PGL720913 OWP720913 OMT720913 OCX720913 NTB720913 NJF720913 MZJ720913 MPN720913 MFR720913 LVV720913 LLZ720913 LCD720913 KSH720913 KIL720913 JYP720913 JOT720913 JEX720913 IVB720913 ILF720913 IBJ720913 HRN720913 HHR720913 GXV720913 GNZ720913 GED720913 FUH720913 FKL720913 FAP720913 EQT720913 EGX720913 DXB720913 DNF720913 DDJ720913 CTN720913 CJR720913 BZV720913 BPZ720913 BGD720913 AWH720913 AML720913 ACP720913 ST720913 IX720913 B720913 WVJ655377 WLN655377 WBR655377 VRV655377 VHZ655377 UYD655377 UOH655377 UEL655377 TUP655377 TKT655377 TAX655377 SRB655377 SHF655377 RXJ655377 RNN655377 RDR655377 QTV655377 QJZ655377 QAD655377 PQH655377 PGL655377 OWP655377 OMT655377 OCX655377 NTB655377 NJF655377 MZJ655377 MPN655377 MFR655377 LVV655377 LLZ655377 LCD655377 KSH655377 KIL655377 JYP655377 JOT655377 JEX655377 IVB655377 ILF655377 IBJ655377 HRN655377 HHR655377 GXV655377 GNZ655377 GED655377 FUH655377 FKL655377 FAP655377 EQT655377 EGX655377 DXB655377 DNF655377 DDJ655377 CTN655377 CJR655377 BZV655377 BPZ655377 BGD655377 AWH655377 AML655377 ACP655377 ST655377 IX655377 B655377 WVJ589841 WLN589841 WBR589841 VRV589841 VHZ589841 UYD589841 UOH589841 UEL589841 TUP589841 TKT589841 TAX589841 SRB589841 SHF589841 RXJ589841 RNN589841 RDR589841 QTV589841 QJZ589841 QAD589841 PQH589841 PGL589841 OWP589841 OMT589841 OCX589841 NTB589841 NJF589841 MZJ589841 MPN589841 MFR589841 LVV589841 LLZ589841 LCD589841 KSH589841 KIL589841 JYP589841 JOT589841 JEX589841 IVB589841 ILF589841 IBJ589841 HRN589841 HHR589841 GXV589841 GNZ589841 GED589841 FUH589841 FKL589841 FAP589841 EQT589841 EGX589841 DXB589841 DNF589841 DDJ589841 CTN589841 CJR589841 BZV589841 BPZ589841 BGD589841 AWH589841 AML589841 ACP589841 ST589841 IX589841 B589841 WVJ524305 WLN524305 WBR524305 VRV524305 VHZ524305 UYD524305 UOH524305 UEL524305 TUP524305 TKT524305 TAX524305 SRB524305 SHF524305 RXJ524305 RNN524305 RDR524305 QTV524305 QJZ524305 QAD524305 PQH524305 PGL524305 OWP524305 OMT524305 OCX524305 NTB524305 NJF524305 MZJ524305 MPN524305 MFR524305 LVV524305 LLZ524305 LCD524305 KSH524305 KIL524305 JYP524305 JOT524305 JEX524305 IVB524305 ILF524305 IBJ524305 HRN524305 HHR524305 GXV524305 GNZ524305 GED524305 FUH524305 FKL524305 FAP524305 EQT524305 EGX524305 DXB524305 DNF524305 DDJ524305 CTN524305 CJR524305 BZV524305 BPZ524305 BGD524305 AWH524305 AML524305 ACP524305 ST524305 IX524305 B524305 WVJ458769 WLN458769 WBR458769 VRV458769 VHZ458769 UYD458769 UOH458769 UEL458769 TUP458769 TKT458769 TAX458769 SRB458769 SHF458769 RXJ458769 RNN458769 RDR458769 QTV458769 QJZ458769 QAD458769 PQH458769 PGL458769 OWP458769 OMT458769 OCX458769 NTB458769 NJF458769 MZJ458769 MPN458769 MFR458769 LVV458769 LLZ458769 LCD458769 KSH458769 KIL458769 JYP458769 JOT458769 JEX458769 IVB458769 ILF458769 IBJ458769 HRN458769 HHR458769 GXV458769 GNZ458769 GED458769 FUH458769 FKL458769 FAP458769 EQT458769 EGX458769 DXB458769 DNF458769 DDJ458769 CTN458769 CJR458769 BZV458769 BPZ458769 BGD458769 AWH458769 AML458769 ACP458769 ST458769 IX458769 B458769 WVJ393233 WLN393233 WBR393233 VRV393233 VHZ393233 UYD393233 UOH393233 UEL393233 TUP393233 TKT393233 TAX393233 SRB393233 SHF393233 RXJ393233 RNN393233 RDR393233 QTV393233 QJZ393233 QAD393233 PQH393233 PGL393233 OWP393233 OMT393233 OCX393233 NTB393233 NJF393233 MZJ393233 MPN393233 MFR393233 LVV393233 LLZ393233 LCD393233 KSH393233 KIL393233 JYP393233 JOT393233 JEX393233 IVB393233 ILF393233 IBJ393233 HRN393233 HHR393233 GXV393233 GNZ393233 GED393233 FUH393233 FKL393233 FAP393233 EQT393233 EGX393233 DXB393233 DNF393233 DDJ393233 CTN393233 CJR393233 BZV393233 BPZ393233 BGD393233 AWH393233 AML393233 ACP393233 ST393233 IX393233 B393233 WVJ327697 WLN327697 WBR327697 VRV327697 VHZ327697 UYD327697 UOH327697 UEL327697 TUP327697 TKT327697 TAX327697 SRB327697 SHF327697 RXJ327697 RNN327697 RDR327697 QTV327697 QJZ327697 QAD327697 PQH327697 PGL327697 OWP327697 OMT327697 OCX327697 NTB327697 NJF327697 MZJ327697 MPN327697 MFR327697 LVV327697 LLZ327697 LCD327697 KSH327697 KIL327697 JYP327697 JOT327697 JEX327697 IVB327697 ILF327697 IBJ327697 HRN327697 HHR327697 GXV327697 GNZ327697 GED327697 FUH327697 FKL327697 FAP327697 EQT327697 EGX327697 DXB327697 DNF327697 DDJ327697 CTN327697 CJR327697 BZV327697 BPZ327697 BGD327697 AWH327697 AML327697 ACP327697 ST327697 IX327697 B327697 WVJ262161 WLN262161 WBR262161 VRV262161 VHZ262161 UYD262161 UOH262161 UEL262161 TUP262161 TKT262161 TAX262161 SRB262161 SHF262161 RXJ262161 RNN262161 RDR262161 QTV262161 QJZ262161 QAD262161 PQH262161 PGL262161 OWP262161 OMT262161 OCX262161 NTB262161 NJF262161 MZJ262161 MPN262161 MFR262161 LVV262161 LLZ262161 LCD262161 KSH262161 KIL262161 JYP262161 JOT262161 JEX262161 IVB262161 ILF262161 IBJ262161 HRN262161 HHR262161 GXV262161 GNZ262161 GED262161 FUH262161 FKL262161 FAP262161 EQT262161 EGX262161 DXB262161 DNF262161 DDJ262161 CTN262161 CJR262161 BZV262161 BPZ262161 BGD262161 AWH262161 AML262161 ACP262161 ST262161 IX262161 B262161 WVJ196625 WLN196625 WBR196625 VRV196625 VHZ196625 UYD196625 UOH196625 UEL196625 TUP196625 TKT196625 TAX196625 SRB196625 SHF196625 RXJ196625 RNN196625 RDR196625 QTV196625 QJZ196625 QAD196625 PQH196625 PGL196625 OWP196625 OMT196625 OCX196625 NTB196625 NJF196625 MZJ196625 MPN196625 MFR196625 LVV196625 LLZ196625 LCD196625 KSH196625 KIL196625 JYP196625 JOT196625 JEX196625 IVB196625 ILF196625 IBJ196625 HRN196625 HHR196625 GXV196625 GNZ196625 GED196625 FUH196625 FKL196625 FAP196625 EQT196625 EGX196625 DXB196625 DNF196625 DDJ196625 CTN196625 CJR196625 BZV196625 BPZ196625 BGD196625 AWH196625 AML196625 ACP196625 ST196625 IX196625 B196625 WVJ131089 WLN131089 WBR131089 VRV131089 VHZ131089 UYD131089 UOH131089 UEL131089 TUP131089 TKT131089 TAX131089 SRB131089 SHF131089 RXJ131089 RNN131089 RDR131089 QTV131089 QJZ131089 QAD131089 PQH131089 PGL131089 OWP131089 OMT131089 OCX131089 NTB131089 NJF131089 MZJ131089 MPN131089 MFR131089 LVV131089 LLZ131089 LCD131089 KSH131089 KIL131089 JYP131089 JOT131089 JEX131089 IVB131089 ILF131089 IBJ131089 HRN131089 HHR131089 GXV131089 GNZ131089 GED131089 FUH131089 FKL131089 FAP131089 EQT131089 EGX131089 DXB131089 DNF131089 DDJ131089 CTN131089 CJR131089 BZV131089 BPZ131089 BGD131089 AWH131089 AML131089 ACP131089 ST131089 IX131089 B131089 WVJ65553 WLN65553 WBR65553 VRV65553 VHZ65553 UYD65553 UOH65553 UEL65553 TUP65553 TKT65553 TAX65553 SRB65553 SHF65553 RXJ65553 RNN65553 RDR65553 QTV65553 QJZ65553 QAD65553 PQH65553 PGL65553 OWP65553 OMT65553 OCX65553 NTB65553 NJF65553 MZJ65553 MPN65553 MFR65553 LVV65553 LLZ65553 LCD65553 KSH65553 KIL65553 JYP65553 JOT65553 JEX65553 IVB65553 ILF65553 IBJ65553 HRN65553 HHR65553 GXV65553 GNZ65553 GED65553 FUH65553 FKL65553 FAP65553 EQT65553 EGX65553 DXB65553 DNF65553 DDJ65553 CTN65553 CJR65553 BZV65553 BPZ65553 BGD65553 AWH65553 AML65553 ACP65553 ST65553 IX65553 B65553 WVJ30:WVJ32 WLN30:WLN32 WBR30:WBR32 VRV30:VRV32 VHZ30:VHZ32 UYD30:UYD32 UOH30:UOH32 UEL30:UEL32 TUP30:TUP32 TKT30:TKT32 TAX30:TAX32 SRB30:SRB32 SHF30:SHF32 RXJ30:RXJ32 RNN30:RNN32 RDR30:RDR32 QTV30:QTV32 QJZ30:QJZ32 QAD30:QAD32 PQH30:PQH32 PGL30:PGL32 OWP30:OWP32 OMT30:OMT32 OCX30:OCX32 NTB30:NTB32 NJF30:NJF32 MZJ30:MZJ32 MPN30:MPN32 MFR30:MFR32 LVV30:LVV32 LLZ30:LLZ32 LCD30:LCD32 KSH30:KSH32 KIL30:KIL32 JYP30:JYP32 JOT30:JOT32 JEX30:JEX32 IVB30:IVB32 ILF30:ILF32 IBJ30:IBJ32 HRN30:HRN32 HHR30:HHR32 GXV30:GXV32 GNZ30:GNZ32 GED30:GED32 FUH30:FUH32 FKL30:FKL32 FAP30:FAP32 EQT30:EQT32 EGX30:EGX32 DXB30:DXB32 DNF30:DNF32 DDJ30:DDJ32 CTN30:CTN32 CJR30:CJR32 BZV30:BZV32 BPZ30:BPZ32 BGD30:BGD32 AWH30:AWH32 AML30:AML32 ACP30:ACP32 ST30:ST32 IX30:IX32">
      <formula1>$B$17:$B$21</formula1>
    </dataValidation>
    <dataValidation type="list" allowBlank="1" showInputMessage="1" showErrorMessage="1" sqref="M65553:M65555 JI65553:JI65555 TE65553:TE65555 ADA65553:ADA65555 AMW65553:AMW65555 AWS65553:AWS65555 BGO65553:BGO65555 BQK65553:BQK65555 CAG65553:CAG65555 CKC65553:CKC65555 CTY65553:CTY65555 DDU65553:DDU65555 DNQ65553:DNQ65555 DXM65553:DXM65555 EHI65553:EHI65555 ERE65553:ERE65555 FBA65553:FBA65555 FKW65553:FKW65555 FUS65553:FUS65555 GEO65553:GEO65555 GOK65553:GOK65555 GYG65553:GYG65555 HIC65553:HIC65555 HRY65553:HRY65555 IBU65553:IBU65555 ILQ65553:ILQ65555 IVM65553:IVM65555 JFI65553:JFI65555 JPE65553:JPE65555 JZA65553:JZA65555 KIW65553:KIW65555 KSS65553:KSS65555 LCO65553:LCO65555 LMK65553:LMK65555 LWG65553:LWG65555 MGC65553:MGC65555 MPY65553:MPY65555 MZU65553:MZU65555 NJQ65553:NJQ65555 NTM65553:NTM65555 ODI65553:ODI65555 ONE65553:ONE65555 OXA65553:OXA65555 PGW65553:PGW65555 PQS65553:PQS65555 QAO65553:QAO65555 QKK65553:QKK65555 QUG65553:QUG65555 REC65553:REC65555 RNY65553:RNY65555 RXU65553:RXU65555 SHQ65553:SHQ65555 SRM65553:SRM65555 TBI65553:TBI65555 TLE65553:TLE65555 TVA65553:TVA65555 UEW65553:UEW65555 UOS65553:UOS65555 UYO65553:UYO65555 VIK65553:VIK65555 VSG65553:VSG65555 WCC65553:WCC65555 WLY65553:WLY65555 WVU65553:WVU65555 M131089:M131091 JI131089:JI131091 TE131089:TE131091 ADA131089:ADA131091 AMW131089:AMW131091 AWS131089:AWS131091 BGO131089:BGO131091 BQK131089:BQK131091 CAG131089:CAG131091 CKC131089:CKC131091 CTY131089:CTY131091 DDU131089:DDU131091 DNQ131089:DNQ131091 DXM131089:DXM131091 EHI131089:EHI131091 ERE131089:ERE131091 FBA131089:FBA131091 FKW131089:FKW131091 FUS131089:FUS131091 GEO131089:GEO131091 GOK131089:GOK131091 GYG131089:GYG131091 HIC131089:HIC131091 HRY131089:HRY131091 IBU131089:IBU131091 ILQ131089:ILQ131091 IVM131089:IVM131091 JFI131089:JFI131091 JPE131089:JPE131091 JZA131089:JZA131091 KIW131089:KIW131091 KSS131089:KSS131091 LCO131089:LCO131091 LMK131089:LMK131091 LWG131089:LWG131091 MGC131089:MGC131091 MPY131089:MPY131091 MZU131089:MZU131091 NJQ131089:NJQ131091 NTM131089:NTM131091 ODI131089:ODI131091 ONE131089:ONE131091 OXA131089:OXA131091 PGW131089:PGW131091 PQS131089:PQS131091 QAO131089:QAO131091 QKK131089:QKK131091 QUG131089:QUG131091 REC131089:REC131091 RNY131089:RNY131091 RXU131089:RXU131091 SHQ131089:SHQ131091 SRM131089:SRM131091 TBI131089:TBI131091 TLE131089:TLE131091 TVA131089:TVA131091 UEW131089:UEW131091 UOS131089:UOS131091 UYO131089:UYO131091 VIK131089:VIK131091 VSG131089:VSG131091 WCC131089:WCC131091 WLY131089:WLY131091 WVU131089:WVU131091 M196625:M196627 JI196625:JI196627 TE196625:TE196627 ADA196625:ADA196627 AMW196625:AMW196627 AWS196625:AWS196627 BGO196625:BGO196627 BQK196625:BQK196627 CAG196625:CAG196627 CKC196625:CKC196627 CTY196625:CTY196627 DDU196625:DDU196627 DNQ196625:DNQ196627 DXM196625:DXM196627 EHI196625:EHI196627 ERE196625:ERE196627 FBA196625:FBA196627 FKW196625:FKW196627 FUS196625:FUS196627 GEO196625:GEO196627 GOK196625:GOK196627 GYG196625:GYG196627 HIC196625:HIC196627 HRY196625:HRY196627 IBU196625:IBU196627 ILQ196625:ILQ196627 IVM196625:IVM196627 JFI196625:JFI196627 JPE196625:JPE196627 JZA196625:JZA196627 KIW196625:KIW196627 KSS196625:KSS196627 LCO196625:LCO196627 LMK196625:LMK196627 LWG196625:LWG196627 MGC196625:MGC196627 MPY196625:MPY196627 MZU196625:MZU196627 NJQ196625:NJQ196627 NTM196625:NTM196627 ODI196625:ODI196627 ONE196625:ONE196627 OXA196625:OXA196627 PGW196625:PGW196627 PQS196625:PQS196627 QAO196625:QAO196627 QKK196625:QKK196627 QUG196625:QUG196627 REC196625:REC196627 RNY196625:RNY196627 RXU196625:RXU196627 SHQ196625:SHQ196627 SRM196625:SRM196627 TBI196625:TBI196627 TLE196625:TLE196627 TVA196625:TVA196627 UEW196625:UEW196627 UOS196625:UOS196627 UYO196625:UYO196627 VIK196625:VIK196627 VSG196625:VSG196627 WCC196625:WCC196627 WLY196625:WLY196627 WVU196625:WVU196627 M262161:M262163 JI262161:JI262163 TE262161:TE262163 ADA262161:ADA262163 AMW262161:AMW262163 AWS262161:AWS262163 BGO262161:BGO262163 BQK262161:BQK262163 CAG262161:CAG262163 CKC262161:CKC262163 CTY262161:CTY262163 DDU262161:DDU262163 DNQ262161:DNQ262163 DXM262161:DXM262163 EHI262161:EHI262163 ERE262161:ERE262163 FBA262161:FBA262163 FKW262161:FKW262163 FUS262161:FUS262163 GEO262161:GEO262163 GOK262161:GOK262163 GYG262161:GYG262163 HIC262161:HIC262163 HRY262161:HRY262163 IBU262161:IBU262163 ILQ262161:ILQ262163 IVM262161:IVM262163 JFI262161:JFI262163 JPE262161:JPE262163 JZA262161:JZA262163 KIW262161:KIW262163 KSS262161:KSS262163 LCO262161:LCO262163 LMK262161:LMK262163 LWG262161:LWG262163 MGC262161:MGC262163 MPY262161:MPY262163 MZU262161:MZU262163 NJQ262161:NJQ262163 NTM262161:NTM262163 ODI262161:ODI262163 ONE262161:ONE262163 OXA262161:OXA262163 PGW262161:PGW262163 PQS262161:PQS262163 QAO262161:QAO262163 QKK262161:QKK262163 QUG262161:QUG262163 REC262161:REC262163 RNY262161:RNY262163 RXU262161:RXU262163 SHQ262161:SHQ262163 SRM262161:SRM262163 TBI262161:TBI262163 TLE262161:TLE262163 TVA262161:TVA262163 UEW262161:UEW262163 UOS262161:UOS262163 UYO262161:UYO262163 VIK262161:VIK262163 VSG262161:VSG262163 WCC262161:WCC262163 WLY262161:WLY262163 WVU262161:WVU262163 M327697:M327699 JI327697:JI327699 TE327697:TE327699 ADA327697:ADA327699 AMW327697:AMW327699 AWS327697:AWS327699 BGO327697:BGO327699 BQK327697:BQK327699 CAG327697:CAG327699 CKC327697:CKC327699 CTY327697:CTY327699 DDU327697:DDU327699 DNQ327697:DNQ327699 DXM327697:DXM327699 EHI327697:EHI327699 ERE327697:ERE327699 FBA327697:FBA327699 FKW327697:FKW327699 FUS327697:FUS327699 GEO327697:GEO327699 GOK327697:GOK327699 GYG327697:GYG327699 HIC327697:HIC327699 HRY327697:HRY327699 IBU327697:IBU327699 ILQ327697:ILQ327699 IVM327697:IVM327699 JFI327697:JFI327699 JPE327697:JPE327699 JZA327697:JZA327699 KIW327697:KIW327699 KSS327697:KSS327699 LCO327697:LCO327699 LMK327697:LMK327699 LWG327697:LWG327699 MGC327697:MGC327699 MPY327697:MPY327699 MZU327697:MZU327699 NJQ327697:NJQ327699 NTM327697:NTM327699 ODI327697:ODI327699 ONE327697:ONE327699 OXA327697:OXA327699 PGW327697:PGW327699 PQS327697:PQS327699 QAO327697:QAO327699 QKK327697:QKK327699 QUG327697:QUG327699 REC327697:REC327699 RNY327697:RNY327699 RXU327697:RXU327699 SHQ327697:SHQ327699 SRM327697:SRM327699 TBI327697:TBI327699 TLE327697:TLE327699 TVA327697:TVA327699 UEW327697:UEW327699 UOS327697:UOS327699 UYO327697:UYO327699 VIK327697:VIK327699 VSG327697:VSG327699 WCC327697:WCC327699 WLY327697:WLY327699 WVU327697:WVU327699 M393233:M393235 JI393233:JI393235 TE393233:TE393235 ADA393233:ADA393235 AMW393233:AMW393235 AWS393233:AWS393235 BGO393233:BGO393235 BQK393233:BQK393235 CAG393233:CAG393235 CKC393233:CKC393235 CTY393233:CTY393235 DDU393233:DDU393235 DNQ393233:DNQ393235 DXM393233:DXM393235 EHI393233:EHI393235 ERE393233:ERE393235 FBA393233:FBA393235 FKW393233:FKW393235 FUS393233:FUS393235 GEO393233:GEO393235 GOK393233:GOK393235 GYG393233:GYG393235 HIC393233:HIC393235 HRY393233:HRY393235 IBU393233:IBU393235 ILQ393233:ILQ393235 IVM393233:IVM393235 JFI393233:JFI393235 JPE393233:JPE393235 JZA393233:JZA393235 KIW393233:KIW393235 KSS393233:KSS393235 LCO393233:LCO393235 LMK393233:LMK393235 LWG393233:LWG393235 MGC393233:MGC393235 MPY393233:MPY393235 MZU393233:MZU393235 NJQ393233:NJQ393235 NTM393233:NTM393235 ODI393233:ODI393235 ONE393233:ONE393235 OXA393233:OXA393235 PGW393233:PGW393235 PQS393233:PQS393235 QAO393233:QAO393235 QKK393233:QKK393235 QUG393233:QUG393235 REC393233:REC393235 RNY393233:RNY393235 RXU393233:RXU393235 SHQ393233:SHQ393235 SRM393233:SRM393235 TBI393233:TBI393235 TLE393233:TLE393235 TVA393233:TVA393235 UEW393233:UEW393235 UOS393233:UOS393235 UYO393233:UYO393235 VIK393233:VIK393235 VSG393233:VSG393235 WCC393233:WCC393235 WLY393233:WLY393235 WVU393233:WVU393235 M458769:M458771 JI458769:JI458771 TE458769:TE458771 ADA458769:ADA458771 AMW458769:AMW458771 AWS458769:AWS458771 BGO458769:BGO458771 BQK458769:BQK458771 CAG458769:CAG458771 CKC458769:CKC458771 CTY458769:CTY458771 DDU458769:DDU458771 DNQ458769:DNQ458771 DXM458769:DXM458771 EHI458769:EHI458771 ERE458769:ERE458771 FBA458769:FBA458771 FKW458769:FKW458771 FUS458769:FUS458771 GEO458769:GEO458771 GOK458769:GOK458771 GYG458769:GYG458771 HIC458769:HIC458771 HRY458769:HRY458771 IBU458769:IBU458771 ILQ458769:ILQ458771 IVM458769:IVM458771 JFI458769:JFI458771 JPE458769:JPE458771 JZA458769:JZA458771 KIW458769:KIW458771 KSS458769:KSS458771 LCO458769:LCO458771 LMK458769:LMK458771 LWG458769:LWG458771 MGC458769:MGC458771 MPY458769:MPY458771 MZU458769:MZU458771 NJQ458769:NJQ458771 NTM458769:NTM458771 ODI458769:ODI458771 ONE458769:ONE458771 OXA458769:OXA458771 PGW458769:PGW458771 PQS458769:PQS458771 QAO458769:QAO458771 QKK458769:QKK458771 QUG458769:QUG458771 REC458769:REC458771 RNY458769:RNY458771 RXU458769:RXU458771 SHQ458769:SHQ458771 SRM458769:SRM458771 TBI458769:TBI458771 TLE458769:TLE458771 TVA458769:TVA458771 UEW458769:UEW458771 UOS458769:UOS458771 UYO458769:UYO458771 VIK458769:VIK458771 VSG458769:VSG458771 WCC458769:WCC458771 WLY458769:WLY458771 WVU458769:WVU458771 M524305:M524307 JI524305:JI524307 TE524305:TE524307 ADA524305:ADA524307 AMW524305:AMW524307 AWS524305:AWS524307 BGO524305:BGO524307 BQK524305:BQK524307 CAG524305:CAG524307 CKC524305:CKC524307 CTY524305:CTY524307 DDU524305:DDU524307 DNQ524305:DNQ524307 DXM524305:DXM524307 EHI524305:EHI524307 ERE524305:ERE524307 FBA524305:FBA524307 FKW524305:FKW524307 FUS524305:FUS524307 GEO524305:GEO524307 GOK524305:GOK524307 GYG524305:GYG524307 HIC524305:HIC524307 HRY524305:HRY524307 IBU524305:IBU524307 ILQ524305:ILQ524307 IVM524305:IVM524307 JFI524305:JFI524307 JPE524305:JPE524307 JZA524305:JZA524307 KIW524305:KIW524307 KSS524305:KSS524307 LCO524305:LCO524307 LMK524305:LMK524307 LWG524305:LWG524307 MGC524305:MGC524307 MPY524305:MPY524307 MZU524305:MZU524307 NJQ524305:NJQ524307 NTM524305:NTM524307 ODI524305:ODI524307 ONE524305:ONE524307 OXA524305:OXA524307 PGW524305:PGW524307 PQS524305:PQS524307 QAO524305:QAO524307 QKK524305:QKK524307 QUG524305:QUG524307 REC524305:REC524307 RNY524305:RNY524307 RXU524305:RXU524307 SHQ524305:SHQ524307 SRM524305:SRM524307 TBI524305:TBI524307 TLE524305:TLE524307 TVA524305:TVA524307 UEW524305:UEW524307 UOS524305:UOS524307 UYO524305:UYO524307 VIK524305:VIK524307 VSG524305:VSG524307 WCC524305:WCC524307 WLY524305:WLY524307 WVU524305:WVU524307 M589841:M589843 JI589841:JI589843 TE589841:TE589843 ADA589841:ADA589843 AMW589841:AMW589843 AWS589841:AWS589843 BGO589841:BGO589843 BQK589841:BQK589843 CAG589841:CAG589843 CKC589841:CKC589843 CTY589841:CTY589843 DDU589841:DDU589843 DNQ589841:DNQ589843 DXM589841:DXM589843 EHI589841:EHI589843 ERE589841:ERE589843 FBA589841:FBA589843 FKW589841:FKW589843 FUS589841:FUS589843 GEO589841:GEO589843 GOK589841:GOK589843 GYG589841:GYG589843 HIC589841:HIC589843 HRY589841:HRY589843 IBU589841:IBU589843 ILQ589841:ILQ589843 IVM589841:IVM589843 JFI589841:JFI589843 JPE589841:JPE589843 JZA589841:JZA589843 KIW589841:KIW589843 KSS589841:KSS589843 LCO589841:LCO589843 LMK589841:LMK589843 LWG589841:LWG589843 MGC589841:MGC589843 MPY589841:MPY589843 MZU589841:MZU589843 NJQ589841:NJQ589843 NTM589841:NTM589843 ODI589841:ODI589843 ONE589841:ONE589843 OXA589841:OXA589843 PGW589841:PGW589843 PQS589841:PQS589843 QAO589841:QAO589843 QKK589841:QKK589843 QUG589841:QUG589843 REC589841:REC589843 RNY589841:RNY589843 RXU589841:RXU589843 SHQ589841:SHQ589843 SRM589841:SRM589843 TBI589841:TBI589843 TLE589841:TLE589843 TVA589841:TVA589843 UEW589841:UEW589843 UOS589841:UOS589843 UYO589841:UYO589843 VIK589841:VIK589843 VSG589841:VSG589843 WCC589841:WCC589843 WLY589841:WLY589843 WVU589841:WVU589843 M655377:M655379 JI655377:JI655379 TE655377:TE655379 ADA655377:ADA655379 AMW655377:AMW655379 AWS655377:AWS655379 BGO655377:BGO655379 BQK655377:BQK655379 CAG655377:CAG655379 CKC655377:CKC655379 CTY655377:CTY655379 DDU655377:DDU655379 DNQ655377:DNQ655379 DXM655377:DXM655379 EHI655377:EHI655379 ERE655377:ERE655379 FBA655377:FBA655379 FKW655377:FKW655379 FUS655377:FUS655379 GEO655377:GEO655379 GOK655377:GOK655379 GYG655377:GYG655379 HIC655377:HIC655379 HRY655377:HRY655379 IBU655377:IBU655379 ILQ655377:ILQ655379 IVM655377:IVM655379 JFI655377:JFI655379 JPE655377:JPE655379 JZA655377:JZA655379 KIW655377:KIW655379 KSS655377:KSS655379 LCO655377:LCO655379 LMK655377:LMK655379 LWG655377:LWG655379 MGC655377:MGC655379 MPY655377:MPY655379 MZU655377:MZU655379 NJQ655377:NJQ655379 NTM655377:NTM655379 ODI655377:ODI655379 ONE655377:ONE655379 OXA655377:OXA655379 PGW655377:PGW655379 PQS655377:PQS655379 QAO655377:QAO655379 QKK655377:QKK655379 QUG655377:QUG655379 REC655377:REC655379 RNY655377:RNY655379 RXU655377:RXU655379 SHQ655377:SHQ655379 SRM655377:SRM655379 TBI655377:TBI655379 TLE655377:TLE655379 TVA655377:TVA655379 UEW655377:UEW655379 UOS655377:UOS655379 UYO655377:UYO655379 VIK655377:VIK655379 VSG655377:VSG655379 WCC655377:WCC655379 WLY655377:WLY655379 WVU655377:WVU655379 M720913:M720915 JI720913:JI720915 TE720913:TE720915 ADA720913:ADA720915 AMW720913:AMW720915 AWS720913:AWS720915 BGO720913:BGO720915 BQK720913:BQK720915 CAG720913:CAG720915 CKC720913:CKC720915 CTY720913:CTY720915 DDU720913:DDU720915 DNQ720913:DNQ720915 DXM720913:DXM720915 EHI720913:EHI720915 ERE720913:ERE720915 FBA720913:FBA720915 FKW720913:FKW720915 FUS720913:FUS720915 GEO720913:GEO720915 GOK720913:GOK720915 GYG720913:GYG720915 HIC720913:HIC720915 HRY720913:HRY720915 IBU720913:IBU720915 ILQ720913:ILQ720915 IVM720913:IVM720915 JFI720913:JFI720915 JPE720913:JPE720915 JZA720913:JZA720915 KIW720913:KIW720915 KSS720913:KSS720915 LCO720913:LCO720915 LMK720913:LMK720915 LWG720913:LWG720915 MGC720913:MGC720915 MPY720913:MPY720915 MZU720913:MZU720915 NJQ720913:NJQ720915 NTM720913:NTM720915 ODI720913:ODI720915 ONE720913:ONE720915 OXA720913:OXA720915 PGW720913:PGW720915 PQS720913:PQS720915 QAO720913:QAO720915 QKK720913:QKK720915 QUG720913:QUG720915 REC720913:REC720915 RNY720913:RNY720915 RXU720913:RXU720915 SHQ720913:SHQ720915 SRM720913:SRM720915 TBI720913:TBI720915 TLE720913:TLE720915 TVA720913:TVA720915 UEW720913:UEW720915 UOS720913:UOS720915 UYO720913:UYO720915 VIK720913:VIK720915 VSG720913:VSG720915 WCC720913:WCC720915 WLY720913:WLY720915 WVU720913:WVU720915 M786449:M786451 JI786449:JI786451 TE786449:TE786451 ADA786449:ADA786451 AMW786449:AMW786451 AWS786449:AWS786451 BGO786449:BGO786451 BQK786449:BQK786451 CAG786449:CAG786451 CKC786449:CKC786451 CTY786449:CTY786451 DDU786449:DDU786451 DNQ786449:DNQ786451 DXM786449:DXM786451 EHI786449:EHI786451 ERE786449:ERE786451 FBA786449:FBA786451 FKW786449:FKW786451 FUS786449:FUS786451 GEO786449:GEO786451 GOK786449:GOK786451 GYG786449:GYG786451 HIC786449:HIC786451 HRY786449:HRY786451 IBU786449:IBU786451 ILQ786449:ILQ786451 IVM786449:IVM786451 JFI786449:JFI786451 JPE786449:JPE786451 JZA786449:JZA786451 KIW786449:KIW786451 KSS786449:KSS786451 LCO786449:LCO786451 LMK786449:LMK786451 LWG786449:LWG786451 MGC786449:MGC786451 MPY786449:MPY786451 MZU786449:MZU786451 NJQ786449:NJQ786451 NTM786449:NTM786451 ODI786449:ODI786451 ONE786449:ONE786451 OXA786449:OXA786451 PGW786449:PGW786451 PQS786449:PQS786451 QAO786449:QAO786451 QKK786449:QKK786451 QUG786449:QUG786451 REC786449:REC786451 RNY786449:RNY786451 RXU786449:RXU786451 SHQ786449:SHQ786451 SRM786449:SRM786451 TBI786449:TBI786451 TLE786449:TLE786451 TVA786449:TVA786451 UEW786449:UEW786451 UOS786449:UOS786451 UYO786449:UYO786451 VIK786449:VIK786451 VSG786449:VSG786451 WCC786449:WCC786451 WLY786449:WLY786451 WVU786449:WVU786451 M851985:M851987 JI851985:JI851987 TE851985:TE851987 ADA851985:ADA851987 AMW851985:AMW851987 AWS851985:AWS851987 BGO851985:BGO851987 BQK851985:BQK851987 CAG851985:CAG851987 CKC851985:CKC851987 CTY851985:CTY851987 DDU851985:DDU851987 DNQ851985:DNQ851987 DXM851985:DXM851987 EHI851985:EHI851987 ERE851985:ERE851987 FBA851985:FBA851987 FKW851985:FKW851987 FUS851985:FUS851987 GEO851985:GEO851987 GOK851985:GOK851987 GYG851985:GYG851987 HIC851985:HIC851987 HRY851985:HRY851987 IBU851985:IBU851987 ILQ851985:ILQ851987 IVM851985:IVM851987 JFI851985:JFI851987 JPE851985:JPE851987 JZA851985:JZA851987 KIW851985:KIW851987 KSS851985:KSS851987 LCO851985:LCO851987 LMK851985:LMK851987 LWG851985:LWG851987 MGC851985:MGC851987 MPY851985:MPY851987 MZU851985:MZU851987 NJQ851985:NJQ851987 NTM851985:NTM851987 ODI851985:ODI851987 ONE851985:ONE851987 OXA851985:OXA851987 PGW851985:PGW851987 PQS851985:PQS851987 QAO851985:QAO851987 QKK851985:QKK851987 QUG851985:QUG851987 REC851985:REC851987 RNY851985:RNY851987 RXU851985:RXU851987 SHQ851985:SHQ851987 SRM851985:SRM851987 TBI851985:TBI851987 TLE851985:TLE851987 TVA851985:TVA851987 UEW851985:UEW851987 UOS851985:UOS851987 UYO851985:UYO851987 VIK851985:VIK851987 VSG851985:VSG851987 WCC851985:WCC851987 WLY851985:WLY851987 WVU851985:WVU851987 M917521:M917523 JI917521:JI917523 TE917521:TE917523 ADA917521:ADA917523 AMW917521:AMW917523 AWS917521:AWS917523 BGO917521:BGO917523 BQK917521:BQK917523 CAG917521:CAG917523 CKC917521:CKC917523 CTY917521:CTY917523 DDU917521:DDU917523 DNQ917521:DNQ917523 DXM917521:DXM917523 EHI917521:EHI917523 ERE917521:ERE917523 FBA917521:FBA917523 FKW917521:FKW917523 FUS917521:FUS917523 GEO917521:GEO917523 GOK917521:GOK917523 GYG917521:GYG917523 HIC917521:HIC917523 HRY917521:HRY917523 IBU917521:IBU917523 ILQ917521:ILQ917523 IVM917521:IVM917523 JFI917521:JFI917523 JPE917521:JPE917523 JZA917521:JZA917523 KIW917521:KIW917523 KSS917521:KSS917523 LCO917521:LCO917523 LMK917521:LMK917523 LWG917521:LWG917523 MGC917521:MGC917523 MPY917521:MPY917523 MZU917521:MZU917523 NJQ917521:NJQ917523 NTM917521:NTM917523 ODI917521:ODI917523 ONE917521:ONE917523 OXA917521:OXA917523 PGW917521:PGW917523 PQS917521:PQS917523 QAO917521:QAO917523 QKK917521:QKK917523 QUG917521:QUG917523 REC917521:REC917523 RNY917521:RNY917523 RXU917521:RXU917523 SHQ917521:SHQ917523 SRM917521:SRM917523 TBI917521:TBI917523 TLE917521:TLE917523 TVA917521:TVA917523 UEW917521:UEW917523 UOS917521:UOS917523 UYO917521:UYO917523 VIK917521:VIK917523 VSG917521:VSG917523 WCC917521:WCC917523 WLY917521:WLY917523 WVU917521:WVU917523 M983057:M983059 JI983057:JI983059 TE983057:TE983059 ADA983057:ADA983059 AMW983057:AMW983059 AWS983057:AWS983059 BGO983057:BGO983059 BQK983057:BQK983059 CAG983057:CAG983059 CKC983057:CKC983059 CTY983057:CTY983059 DDU983057:DDU983059 DNQ983057:DNQ983059 DXM983057:DXM983059 EHI983057:EHI983059 ERE983057:ERE983059 FBA983057:FBA983059 FKW983057:FKW983059 FUS983057:FUS983059 GEO983057:GEO983059 GOK983057:GOK983059 GYG983057:GYG983059 HIC983057:HIC983059 HRY983057:HRY983059 IBU983057:IBU983059 ILQ983057:ILQ983059 IVM983057:IVM983059 JFI983057:JFI983059 JPE983057:JPE983059 JZA983057:JZA983059 KIW983057:KIW983059 KSS983057:KSS983059 LCO983057:LCO983059 LMK983057:LMK983059 LWG983057:LWG983059 MGC983057:MGC983059 MPY983057:MPY983059 MZU983057:MZU983059 NJQ983057:NJQ983059 NTM983057:NTM983059 ODI983057:ODI983059 ONE983057:ONE983059 OXA983057:OXA983059 PGW983057:PGW983059 PQS983057:PQS983059 QAO983057:QAO983059 QKK983057:QKK983059 QUG983057:QUG983059 REC983057:REC983059 RNY983057:RNY983059 RXU983057:RXU983059 SHQ983057:SHQ983059 SRM983057:SRM983059 TBI983057:TBI983059 TLE983057:TLE983059 TVA983057:TVA983059 UEW983057:UEW983059 UOS983057:UOS983059 UYO983057:UYO983059 VIK983057:VIK983059 VSG983057:VSG983059 WCC983057:WCC983059 WLY983057:WLY983059 WVU983057:WVU983059 WVU30:WVU32 WLY30:WLY32 WCC30:WCC32 VSG30:VSG32 VIK30:VIK32 UYO30:UYO32 UOS30:UOS32 UEW30:UEW32 TVA30:TVA32 TLE30:TLE32 TBI30:TBI32 SRM30:SRM32 SHQ30:SHQ32 RXU30:RXU32 RNY30:RNY32 REC30:REC32 QUG30:QUG32 QKK30:QKK32 QAO30:QAO32 PQS30:PQS32 PGW30:PGW32 OXA30:OXA32 ONE30:ONE32 ODI30:ODI32 NTM30:NTM32 NJQ30:NJQ32 MZU30:MZU32 MPY30:MPY32 MGC30:MGC32 LWG30:LWG32 LMK30:LMK32 LCO30:LCO32 KSS30:KSS32 KIW30:KIW32 JZA30:JZA32 JPE30:JPE32 JFI30:JFI32 IVM30:IVM32 ILQ30:ILQ32 IBU30:IBU32 HRY30:HRY32 HIC30:HIC32 GYG30:GYG32 GOK30:GOK32 GEO30:GEO32 FUS30:FUS32 FKW30:FKW32 FBA30:FBA32 ERE30:ERE32 EHI30:EHI32 DXM30:DXM32 DNQ30:DNQ32 DDU30:DDU32 CTY30:CTY32 CKC30:CKC32 CAG30:CAG32 BQK30:BQK32 BGO30:BGO32 AWS30:AWS32 AMW30:AMW32 ADA30:ADA32 TE30:TE32 JI30:JI32 M30:M32">
      <formula1>#REF!</formula1>
    </dataValidation>
    <dataValidation type="list" allowBlank="1" showInputMessage="1" showErrorMessage="1" sqref="L65553:L65555 L30:L32 JH30:JH32 TD30:TD32 ACZ30:ACZ32 AMV30:AMV32 AWR30:AWR32 BGN30:BGN32 BQJ30:BQJ32 CAF30:CAF32 CKB30:CKB32 CTX30:CTX32 DDT30:DDT32 DNP30:DNP32 DXL30:DXL32 EHH30:EHH32 ERD30:ERD32 FAZ30:FAZ32 FKV30:FKV32 FUR30:FUR32 GEN30:GEN32 GOJ30:GOJ32 GYF30:GYF32 HIB30:HIB32 HRX30:HRX32 IBT30:IBT32 ILP30:ILP32 IVL30:IVL32 JFH30:JFH32 JPD30:JPD32 JYZ30:JYZ32 KIV30:KIV32 KSR30:KSR32 LCN30:LCN32 LMJ30:LMJ32 LWF30:LWF32 MGB30:MGB32 MPX30:MPX32 MZT30:MZT32 NJP30:NJP32 NTL30:NTL32 ODH30:ODH32 OND30:OND32 OWZ30:OWZ32 PGV30:PGV32 PQR30:PQR32 QAN30:QAN32 QKJ30:QKJ32 QUF30:QUF32 REB30:REB32 RNX30:RNX32 RXT30:RXT32 SHP30:SHP32 SRL30:SRL32 TBH30:TBH32 TLD30:TLD32 TUZ30:TUZ32 UEV30:UEV32 UOR30:UOR32 UYN30:UYN32 VIJ30:VIJ32 VSF30:VSF32 WCB30:WCB32 WLX30:WLX32 WVT30:WVT32 WVT983057:WVT983059 WLX983057:WLX983059 WCB983057:WCB983059 VSF983057:VSF983059 VIJ983057:VIJ983059 UYN983057:UYN983059 UOR983057:UOR983059 UEV983057:UEV983059 TUZ983057:TUZ983059 TLD983057:TLD983059 TBH983057:TBH983059 SRL983057:SRL983059 SHP983057:SHP983059 RXT983057:RXT983059 RNX983057:RNX983059 REB983057:REB983059 QUF983057:QUF983059 QKJ983057:QKJ983059 QAN983057:QAN983059 PQR983057:PQR983059 PGV983057:PGV983059 OWZ983057:OWZ983059 OND983057:OND983059 ODH983057:ODH983059 NTL983057:NTL983059 NJP983057:NJP983059 MZT983057:MZT983059 MPX983057:MPX983059 MGB983057:MGB983059 LWF983057:LWF983059 LMJ983057:LMJ983059 LCN983057:LCN983059 KSR983057:KSR983059 KIV983057:KIV983059 JYZ983057:JYZ983059 JPD983057:JPD983059 JFH983057:JFH983059 IVL983057:IVL983059 ILP983057:ILP983059 IBT983057:IBT983059 HRX983057:HRX983059 HIB983057:HIB983059 GYF983057:GYF983059 GOJ983057:GOJ983059 GEN983057:GEN983059 FUR983057:FUR983059 FKV983057:FKV983059 FAZ983057:FAZ983059 ERD983057:ERD983059 EHH983057:EHH983059 DXL983057:DXL983059 DNP983057:DNP983059 DDT983057:DDT983059 CTX983057:CTX983059 CKB983057:CKB983059 CAF983057:CAF983059 BQJ983057:BQJ983059 BGN983057:BGN983059 AWR983057:AWR983059 AMV983057:AMV983059 ACZ983057:ACZ983059 TD983057:TD983059 JH983057:JH983059 L983057:L983059 WVT917521:WVT917523 WLX917521:WLX917523 WCB917521:WCB917523 VSF917521:VSF917523 VIJ917521:VIJ917523 UYN917521:UYN917523 UOR917521:UOR917523 UEV917521:UEV917523 TUZ917521:TUZ917523 TLD917521:TLD917523 TBH917521:TBH917523 SRL917521:SRL917523 SHP917521:SHP917523 RXT917521:RXT917523 RNX917521:RNX917523 REB917521:REB917523 QUF917521:QUF917523 QKJ917521:QKJ917523 QAN917521:QAN917523 PQR917521:PQR917523 PGV917521:PGV917523 OWZ917521:OWZ917523 OND917521:OND917523 ODH917521:ODH917523 NTL917521:NTL917523 NJP917521:NJP917523 MZT917521:MZT917523 MPX917521:MPX917523 MGB917521:MGB917523 LWF917521:LWF917523 LMJ917521:LMJ917523 LCN917521:LCN917523 KSR917521:KSR917523 KIV917521:KIV917523 JYZ917521:JYZ917523 JPD917521:JPD917523 JFH917521:JFH917523 IVL917521:IVL917523 ILP917521:ILP917523 IBT917521:IBT917523 HRX917521:HRX917523 HIB917521:HIB917523 GYF917521:GYF917523 GOJ917521:GOJ917523 GEN917521:GEN917523 FUR917521:FUR917523 FKV917521:FKV917523 FAZ917521:FAZ917523 ERD917521:ERD917523 EHH917521:EHH917523 DXL917521:DXL917523 DNP917521:DNP917523 DDT917521:DDT917523 CTX917521:CTX917523 CKB917521:CKB917523 CAF917521:CAF917523 BQJ917521:BQJ917523 BGN917521:BGN917523 AWR917521:AWR917523 AMV917521:AMV917523 ACZ917521:ACZ917523 TD917521:TD917523 JH917521:JH917523 L917521:L917523 WVT851985:WVT851987 WLX851985:WLX851987 WCB851985:WCB851987 VSF851985:VSF851987 VIJ851985:VIJ851987 UYN851985:UYN851987 UOR851985:UOR851987 UEV851985:UEV851987 TUZ851985:TUZ851987 TLD851985:TLD851987 TBH851985:TBH851987 SRL851985:SRL851987 SHP851985:SHP851987 RXT851985:RXT851987 RNX851985:RNX851987 REB851985:REB851987 QUF851985:QUF851987 QKJ851985:QKJ851987 QAN851985:QAN851987 PQR851985:PQR851987 PGV851985:PGV851987 OWZ851985:OWZ851987 OND851985:OND851987 ODH851985:ODH851987 NTL851985:NTL851987 NJP851985:NJP851987 MZT851985:MZT851987 MPX851985:MPX851987 MGB851985:MGB851987 LWF851985:LWF851987 LMJ851985:LMJ851987 LCN851985:LCN851987 KSR851985:KSR851987 KIV851985:KIV851987 JYZ851985:JYZ851987 JPD851985:JPD851987 JFH851985:JFH851987 IVL851985:IVL851987 ILP851985:ILP851987 IBT851985:IBT851987 HRX851985:HRX851987 HIB851985:HIB851987 GYF851985:GYF851987 GOJ851985:GOJ851987 GEN851985:GEN851987 FUR851985:FUR851987 FKV851985:FKV851987 FAZ851985:FAZ851987 ERD851985:ERD851987 EHH851985:EHH851987 DXL851985:DXL851987 DNP851985:DNP851987 DDT851985:DDT851987 CTX851985:CTX851987 CKB851985:CKB851987 CAF851985:CAF851987 BQJ851985:BQJ851987 BGN851985:BGN851987 AWR851985:AWR851987 AMV851985:AMV851987 ACZ851985:ACZ851987 TD851985:TD851987 JH851985:JH851987 L851985:L851987 WVT786449:WVT786451 WLX786449:WLX786451 WCB786449:WCB786451 VSF786449:VSF786451 VIJ786449:VIJ786451 UYN786449:UYN786451 UOR786449:UOR786451 UEV786449:UEV786451 TUZ786449:TUZ786451 TLD786449:TLD786451 TBH786449:TBH786451 SRL786449:SRL786451 SHP786449:SHP786451 RXT786449:RXT786451 RNX786449:RNX786451 REB786449:REB786451 QUF786449:QUF786451 QKJ786449:QKJ786451 QAN786449:QAN786451 PQR786449:PQR786451 PGV786449:PGV786451 OWZ786449:OWZ786451 OND786449:OND786451 ODH786449:ODH786451 NTL786449:NTL786451 NJP786449:NJP786451 MZT786449:MZT786451 MPX786449:MPX786451 MGB786449:MGB786451 LWF786449:LWF786451 LMJ786449:LMJ786451 LCN786449:LCN786451 KSR786449:KSR786451 KIV786449:KIV786451 JYZ786449:JYZ786451 JPD786449:JPD786451 JFH786449:JFH786451 IVL786449:IVL786451 ILP786449:ILP786451 IBT786449:IBT786451 HRX786449:HRX786451 HIB786449:HIB786451 GYF786449:GYF786451 GOJ786449:GOJ786451 GEN786449:GEN786451 FUR786449:FUR786451 FKV786449:FKV786451 FAZ786449:FAZ786451 ERD786449:ERD786451 EHH786449:EHH786451 DXL786449:DXL786451 DNP786449:DNP786451 DDT786449:DDT786451 CTX786449:CTX786451 CKB786449:CKB786451 CAF786449:CAF786451 BQJ786449:BQJ786451 BGN786449:BGN786451 AWR786449:AWR786451 AMV786449:AMV786451 ACZ786449:ACZ786451 TD786449:TD786451 JH786449:JH786451 L786449:L786451 WVT720913:WVT720915 WLX720913:WLX720915 WCB720913:WCB720915 VSF720913:VSF720915 VIJ720913:VIJ720915 UYN720913:UYN720915 UOR720913:UOR720915 UEV720913:UEV720915 TUZ720913:TUZ720915 TLD720913:TLD720915 TBH720913:TBH720915 SRL720913:SRL720915 SHP720913:SHP720915 RXT720913:RXT720915 RNX720913:RNX720915 REB720913:REB720915 QUF720913:QUF720915 QKJ720913:QKJ720915 QAN720913:QAN720915 PQR720913:PQR720915 PGV720913:PGV720915 OWZ720913:OWZ720915 OND720913:OND720915 ODH720913:ODH720915 NTL720913:NTL720915 NJP720913:NJP720915 MZT720913:MZT720915 MPX720913:MPX720915 MGB720913:MGB720915 LWF720913:LWF720915 LMJ720913:LMJ720915 LCN720913:LCN720915 KSR720913:KSR720915 KIV720913:KIV720915 JYZ720913:JYZ720915 JPD720913:JPD720915 JFH720913:JFH720915 IVL720913:IVL720915 ILP720913:ILP720915 IBT720913:IBT720915 HRX720913:HRX720915 HIB720913:HIB720915 GYF720913:GYF720915 GOJ720913:GOJ720915 GEN720913:GEN720915 FUR720913:FUR720915 FKV720913:FKV720915 FAZ720913:FAZ720915 ERD720913:ERD720915 EHH720913:EHH720915 DXL720913:DXL720915 DNP720913:DNP720915 DDT720913:DDT720915 CTX720913:CTX720915 CKB720913:CKB720915 CAF720913:CAF720915 BQJ720913:BQJ720915 BGN720913:BGN720915 AWR720913:AWR720915 AMV720913:AMV720915 ACZ720913:ACZ720915 TD720913:TD720915 JH720913:JH720915 L720913:L720915 WVT655377:WVT655379 WLX655377:WLX655379 WCB655377:WCB655379 VSF655377:VSF655379 VIJ655377:VIJ655379 UYN655377:UYN655379 UOR655377:UOR655379 UEV655377:UEV655379 TUZ655377:TUZ655379 TLD655377:TLD655379 TBH655377:TBH655379 SRL655377:SRL655379 SHP655377:SHP655379 RXT655377:RXT655379 RNX655377:RNX655379 REB655377:REB655379 QUF655377:QUF655379 QKJ655377:QKJ655379 QAN655377:QAN655379 PQR655377:PQR655379 PGV655377:PGV655379 OWZ655377:OWZ655379 OND655377:OND655379 ODH655377:ODH655379 NTL655377:NTL655379 NJP655377:NJP655379 MZT655377:MZT655379 MPX655377:MPX655379 MGB655377:MGB655379 LWF655377:LWF655379 LMJ655377:LMJ655379 LCN655377:LCN655379 KSR655377:KSR655379 KIV655377:KIV655379 JYZ655377:JYZ655379 JPD655377:JPD655379 JFH655377:JFH655379 IVL655377:IVL655379 ILP655377:ILP655379 IBT655377:IBT655379 HRX655377:HRX655379 HIB655377:HIB655379 GYF655377:GYF655379 GOJ655377:GOJ655379 GEN655377:GEN655379 FUR655377:FUR655379 FKV655377:FKV655379 FAZ655377:FAZ655379 ERD655377:ERD655379 EHH655377:EHH655379 DXL655377:DXL655379 DNP655377:DNP655379 DDT655377:DDT655379 CTX655377:CTX655379 CKB655377:CKB655379 CAF655377:CAF655379 BQJ655377:BQJ655379 BGN655377:BGN655379 AWR655377:AWR655379 AMV655377:AMV655379 ACZ655377:ACZ655379 TD655377:TD655379 JH655377:JH655379 L655377:L655379 WVT589841:WVT589843 WLX589841:WLX589843 WCB589841:WCB589843 VSF589841:VSF589843 VIJ589841:VIJ589843 UYN589841:UYN589843 UOR589841:UOR589843 UEV589841:UEV589843 TUZ589841:TUZ589843 TLD589841:TLD589843 TBH589841:TBH589843 SRL589841:SRL589843 SHP589841:SHP589843 RXT589841:RXT589843 RNX589841:RNX589843 REB589841:REB589843 QUF589841:QUF589843 QKJ589841:QKJ589843 QAN589841:QAN589843 PQR589841:PQR589843 PGV589841:PGV589843 OWZ589841:OWZ589843 OND589841:OND589843 ODH589841:ODH589843 NTL589841:NTL589843 NJP589841:NJP589843 MZT589841:MZT589843 MPX589841:MPX589843 MGB589841:MGB589843 LWF589841:LWF589843 LMJ589841:LMJ589843 LCN589841:LCN589843 KSR589841:KSR589843 KIV589841:KIV589843 JYZ589841:JYZ589843 JPD589841:JPD589843 JFH589841:JFH589843 IVL589841:IVL589843 ILP589841:ILP589843 IBT589841:IBT589843 HRX589841:HRX589843 HIB589841:HIB589843 GYF589841:GYF589843 GOJ589841:GOJ589843 GEN589841:GEN589843 FUR589841:FUR589843 FKV589841:FKV589843 FAZ589841:FAZ589843 ERD589841:ERD589843 EHH589841:EHH589843 DXL589841:DXL589843 DNP589841:DNP589843 DDT589841:DDT589843 CTX589841:CTX589843 CKB589841:CKB589843 CAF589841:CAF589843 BQJ589841:BQJ589843 BGN589841:BGN589843 AWR589841:AWR589843 AMV589841:AMV589843 ACZ589841:ACZ589843 TD589841:TD589843 JH589841:JH589843 L589841:L589843 WVT524305:WVT524307 WLX524305:WLX524307 WCB524305:WCB524307 VSF524305:VSF524307 VIJ524305:VIJ524307 UYN524305:UYN524307 UOR524305:UOR524307 UEV524305:UEV524307 TUZ524305:TUZ524307 TLD524305:TLD524307 TBH524305:TBH524307 SRL524305:SRL524307 SHP524305:SHP524307 RXT524305:RXT524307 RNX524305:RNX524307 REB524305:REB524307 QUF524305:QUF524307 QKJ524305:QKJ524307 QAN524305:QAN524307 PQR524305:PQR524307 PGV524305:PGV524307 OWZ524305:OWZ524307 OND524305:OND524307 ODH524305:ODH524307 NTL524305:NTL524307 NJP524305:NJP524307 MZT524305:MZT524307 MPX524305:MPX524307 MGB524305:MGB524307 LWF524305:LWF524307 LMJ524305:LMJ524307 LCN524305:LCN524307 KSR524305:KSR524307 KIV524305:KIV524307 JYZ524305:JYZ524307 JPD524305:JPD524307 JFH524305:JFH524307 IVL524305:IVL524307 ILP524305:ILP524307 IBT524305:IBT524307 HRX524305:HRX524307 HIB524305:HIB524307 GYF524305:GYF524307 GOJ524305:GOJ524307 GEN524305:GEN524307 FUR524305:FUR524307 FKV524305:FKV524307 FAZ524305:FAZ524307 ERD524305:ERD524307 EHH524305:EHH524307 DXL524305:DXL524307 DNP524305:DNP524307 DDT524305:DDT524307 CTX524305:CTX524307 CKB524305:CKB524307 CAF524305:CAF524307 BQJ524305:BQJ524307 BGN524305:BGN524307 AWR524305:AWR524307 AMV524305:AMV524307 ACZ524305:ACZ524307 TD524305:TD524307 JH524305:JH524307 L524305:L524307 WVT458769:WVT458771 WLX458769:WLX458771 WCB458769:WCB458771 VSF458769:VSF458771 VIJ458769:VIJ458771 UYN458769:UYN458771 UOR458769:UOR458771 UEV458769:UEV458771 TUZ458769:TUZ458771 TLD458769:TLD458771 TBH458769:TBH458771 SRL458769:SRL458771 SHP458769:SHP458771 RXT458769:RXT458771 RNX458769:RNX458771 REB458769:REB458771 QUF458769:QUF458771 QKJ458769:QKJ458771 QAN458769:QAN458771 PQR458769:PQR458771 PGV458769:PGV458771 OWZ458769:OWZ458771 OND458769:OND458771 ODH458769:ODH458771 NTL458769:NTL458771 NJP458769:NJP458771 MZT458769:MZT458771 MPX458769:MPX458771 MGB458769:MGB458771 LWF458769:LWF458771 LMJ458769:LMJ458771 LCN458769:LCN458771 KSR458769:KSR458771 KIV458769:KIV458771 JYZ458769:JYZ458771 JPD458769:JPD458771 JFH458769:JFH458771 IVL458769:IVL458771 ILP458769:ILP458771 IBT458769:IBT458771 HRX458769:HRX458771 HIB458769:HIB458771 GYF458769:GYF458771 GOJ458769:GOJ458771 GEN458769:GEN458771 FUR458769:FUR458771 FKV458769:FKV458771 FAZ458769:FAZ458771 ERD458769:ERD458771 EHH458769:EHH458771 DXL458769:DXL458771 DNP458769:DNP458771 DDT458769:DDT458771 CTX458769:CTX458771 CKB458769:CKB458771 CAF458769:CAF458771 BQJ458769:BQJ458771 BGN458769:BGN458771 AWR458769:AWR458771 AMV458769:AMV458771 ACZ458769:ACZ458771 TD458769:TD458771 JH458769:JH458771 L458769:L458771 WVT393233:WVT393235 WLX393233:WLX393235 WCB393233:WCB393235 VSF393233:VSF393235 VIJ393233:VIJ393235 UYN393233:UYN393235 UOR393233:UOR393235 UEV393233:UEV393235 TUZ393233:TUZ393235 TLD393233:TLD393235 TBH393233:TBH393235 SRL393233:SRL393235 SHP393233:SHP393235 RXT393233:RXT393235 RNX393233:RNX393235 REB393233:REB393235 QUF393233:QUF393235 QKJ393233:QKJ393235 QAN393233:QAN393235 PQR393233:PQR393235 PGV393233:PGV393235 OWZ393233:OWZ393235 OND393233:OND393235 ODH393233:ODH393235 NTL393233:NTL393235 NJP393233:NJP393235 MZT393233:MZT393235 MPX393233:MPX393235 MGB393233:MGB393235 LWF393233:LWF393235 LMJ393233:LMJ393235 LCN393233:LCN393235 KSR393233:KSR393235 KIV393233:KIV393235 JYZ393233:JYZ393235 JPD393233:JPD393235 JFH393233:JFH393235 IVL393233:IVL393235 ILP393233:ILP393235 IBT393233:IBT393235 HRX393233:HRX393235 HIB393233:HIB393235 GYF393233:GYF393235 GOJ393233:GOJ393235 GEN393233:GEN393235 FUR393233:FUR393235 FKV393233:FKV393235 FAZ393233:FAZ393235 ERD393233:ERD393235 EHH393233:EHH393235 DXL393233:DXL393235 DNP393233:DNP393235 DDT393233:DDT393235 CTX393233:CTX393235 CKB393233:CKB393235 CAF393233:CAF393235 BQJ393233:BQJ393235 BGN393233:BGN393235 AWR393233:AWR393235 AMV393233:AMV393235 ACZ393233:ACZ393235 TD393233:TD393235 JH393233:JH393235 L393233:L393235 WVT327697:WVT327699 WLX327697:WLX327699 WCB327697:WCB327699 VSF327697:VSF327699 VIJ327697:VIJ327699 UYN327697:UYN327699 UOR327697:UOR327699 UEV327697:UEV327699 TUZ327697:TUZ327699 TLD327697:TLD327699 TBH327697:TBH327699 SRL327697:SRL327699 SHP327697:SHP327699 RXT327697:RXT327699 RNX327697:RNX327699 REB327697:REB327699 QUF327697:QUF327699 QKJ327697:QKJ327699 QAN327697:QAN327699 PQR327697:PQR327699 PGV327697:PGV327699 OWZ327697:OWZ327699 OND327697:OND327699 ODH327697:ODH327699 NTL327697:NTL327699 NJP327697:NJP327699 MZT327697:MZT327699 MPX327697:MPX327699 MGB327697:MGB327699 LWF327697:LWF327699 LMJ327697:LMJ327699 LCN327697:LCN327699 KSR327697:KSR327699 KIV327697:KIV327699 JYZ327697:JYZ327699 JPD327697:JPD327699 JFH327697:JFH327699 IVL327697:IVL327699 ILP327697:ILP327699 IBT327697:IBT327699 HRX327697:HRX327699 HIB327697:HIB327699 GYF327697:GYF327699 GOJ327697:GOJ327699 GEN327697:GEN327699 FUR327697:FUR327699 FKV327697:FKV327699 FAZ327697:FAZ327699 ERD327697:ERD327699 EHH327697:EHH327699 DXL327697:DXL327699 DNP327697:DNP327699 DDT327697:DDT327699 CTX327697:CTX327699 CKB327697:CKB327699 CAF327697:CAF327699 BQJ327697:BQJ327699 BGN327697:BGN327699 AWR327697:AWR327699 AMV327697:AMV327699 ACZ327697:ACZ327699 TD327697:TD327699 JH327697:JH327699 L327697:L327699 WVT262161:WVT262163 WLX262161:WLX262163 WCB262161:WCB262163 VSF262161:VSF262163 VIJ262161:VIJ262163 UYN262161:UYN262163 UOR262161:UOR262163 UEV262161:UEV262163 TUZ262161:TUZ262163 TLD262161:TLD262163 TBH262161:TBH262163 SRL262161:SRL262163 SHP262161:SHP262163 RXT262161:RXT262163 RNX262161:RNX262163 REB262161:REB262163 QUF262161:QUF262163 QKJ262161:QKJ262163 QAN262161:QAN262163 PQR262161:PQR262163 PGV262161:PGV262163 OWZ262161:OWZ262163 OND262161:OND262163 ODH262161:ODH262163 NTL262161:NTL262163 NJP262161:NJP262163 MZT262161:MZT262163 MPX262161:MPX262163 MGB262161:MGB262163 LWF262161:LWF262163 LMJ262161:LMJ262163 LCN262161:LCN262163 KSR262161:KSR262163 KIV262161:KIV262163 JYZ262161:JYZ262163 JPD262161:JPD262163 JFH262161:JFH262163 IVL262161:IVL262163 ILP262161:ILP262163 IBT262161:IBT262163 HRX262161:HRX262163 HIB262161:HIB262163 GYF262161:GYF262163 GOJ262161:GOJ262163 GEN262161:GEN262163 FUR262161:FUR262163 FKV262161:FKV262163 FAZ262161:FAZ262163 ERD262161:ERD262163 EHH262161:EHH262163 DXL262161:DXL262163 DNP262161:DNP262163 DDT262161:DDT262163 CTX262161:CTX262163 CKB262161:CKB262163 CAF262161:CAF262163 BQJ262161:BQJ262163 BGN262161:BGN262163 AWR262161:AWR262163 AMV262161:AMV262163 ACZ262161:ACZ262163 TD262161:TD262163 JH262161:JH262163 L262161:L262163 WVT196625:WVT196627 WLX196625:WLX196627 WCB196625:WCB196627 VSF196625:VSF196627 VIJ196625:VIJ196627 UYN196625:UYN196627 UOR196625:UOR196627 UEV196625:UEV196627 TUZ196625:TUZ196627 TLD196625:TLD196627 TBH196625:TBH196627 SRL196625:SRL196627 SHP196625:SHP196627 RXT196625:RXT196627 RNX196625:RNX196627 REB196625:REB196627 QUF196625:QUF196627 QKJ196625:QKJ196627 QAN196625:QAN196627 PQR196625:PQR196627 PGV196625:PGV196627 OWZ196625:OWZ196627 OND196625:OND196627 ODH196625:ODH196627 NTL196625:NTL196627 NJP196625:NJP196627 MZT196625:MZT196627 MPX196625:MPX196627 MGB196625:MGB196627 LWF196625:LWF196627 LMJ196625:LMJ196627 LCN196625:LCN196627 KSR196625:KSR196627 KIV196625:KIV196627 JYZ196625:JYZ196627 JPD196625:JPD196627 JFH196625:JFH196627 IVL196625:IVL196627 ILP196625:ILP196627 IBT196625:IBT196627 HRX196625:HRX196627 HIB196625:HIB196627 GYF196625:GYF196627 GOJ196625:GOJ196627 GEN196625:GEN196627 FUR196625:FUR196627 FKV196625:FKV196627 FAZ196625:FAZ196627 ERD196625:ERD196627 EHH196625:EHH196627 DXL196625:DXL196627 DNP196625:DNP196627 DDT196625:DDT196627 CTX196625:CTX196627 CKB196625:CKB196627 CAF196625:CAF196627 BQJ196625:BQJ196627 BGN196625:BGN196627 AWR196625:AWR196627 AMV196625:AMV196627 ACZ196625:ACZ196627 TD196625:TD196627 JH196625:JH196627 L196625:L196627 WVT131089:WVT131091 WLX131089:WLX131091 WCB131089:WCB131091 VSF131089:VSF131091 VIJ131089:VIJ131091 UYN131089:UYN131091 UOR131089:UOR131091 UEV131089:UEV131091 TUZ131089:TUZ131091 TLD131089:TLD131091 TBH131089:TBH131091 SRL131089:SRL131091 SHP131089:SHP131091 RXT131089:RXT131091 RNX131089:RNX131091 REB131089:REB131091 QUF131089:QUF131091 QKJ131089:QKJ131091 QAN131089:QAN131091 PQR131089:PQR131091 PGV131089:PGV131091 OWZ131089:OWZ131091 OND131089:OND131091 ODH131089:ODH131091 NTL131089:NTL131091 NJP131089:NJP131091 MZT131089:MZT131091 MPX131089:MPX131091 MGB131089:MGB131091 LWF131089:LWF131091 LMJ131089:LMJ131091 LCN131089:LCN131091 KSR131089:KSR131091 KIV131089:KIV131091 JYZ131089:JYZ131091 JPD131089:JPD131091 JFH131089:JFH131091 IVL131089:IVL131091 ILP131089:ILP131091 IBT131089:IBT131091 HRX131089:HRX131091 HIB131089:HIB131091 GYF131089:GYF131091 GOJ131089:GOJ131091 GEN131089:GEN131091 FUR131089:FUR131091 FKV131089:FKV131091 FAZ131089:FAZ131091 ERD131089:ERD131091 EHH131089:EHH131091 DXL131089:DXL131091 DNP131089:DNP131091 DDT131089:DDT131091 CTX131089:CTX131091 CKB131089:CKB131091 CAF131089:CAF131091 BQJ131089:BQJ131091 BGN131089:BGN131091 AWR131089:AWR131091 AMV131089:AMV131091 ACZ131089:ACZ131091 TD131089:TD131091 JH131089:JH131091 L131089:L131091 WVT65553:WVT65555 WLX65553:WLX65555 WCB65553:WCB65555 VSF65553:VSF65555 VIJ65553:VIJ65555 UYN65553:UYN65555 UOR65553:UOR65555 UEV65553:UEV65555 TUZ65553:TUZ65555 TLD65553:TLD65555 TBH65553:TBH65555 SRL65553:SRL65555 SHP65553:SHP65555 RXT65553:RXT65555 RNX65553:RNX65555 REB65553:REB65555 QUF65553:QUF65555 QKJ65553:QKJ65555 QAN65553:QAN65555 PQR65553:PQR65555 PGV65553:PGV65555 OWZ65553:OWZ65555 OND65553:OND65555 ODH65553:ODH65555 NTL65553:NTL65555 NJP65553:NJP65555 MZT65553:MZT65555 MPX65553:MPX65555 MGB65553:MGB65555 LWF65553:LWF65555 LMJ65553:LMJ65555 LCN65553:LCN65555 KSR65553:KSR65555 KIV65553:KIV65555 JYZ65553:JYZ65555 JPD65553:JPD65555 JFH65553:JFH65555 IVL65553:IVL65555 ILP65553:ILP65555 IBT65553:IBT65555 HRX65553:HRX65555 HIB65553:HIB65555 GYF65553:GYF65555 GOJ65553:GOJ65555 GEN65553:GEN65555 FUR65553:FUR65555 FKV65553:FKV65555 FAZ65553:FAZ65555 ERD65553:ERD65555 EHH65553:EHH65555 DXL65553:DXL65555 DNP65553:DNP65555 DDT65553:DDT65555 CTX65553:CTX65555 CKB65553:CKB65555 CAF65553:CAF65555 BQJ65553:BQJ65555 BGN65553:BGN65555 AWR65553:AWR65555 AMV65553:AMV65555 ACZ65553:ACZ65555 TD65553:TD65555 JH65553:JH65555">
      <formula1>$N$17:$N$20</formula1>
    </dataValidation>
    <dataValidation type="list" allowBlank="1" showInputMessage="1" showErrorMessage="1" sqref="N65553:N65555 N30:N32 JJ30:JJ32 TF30:TF32 ADB30:ADB32 AMX30:AMX32 AWT30:AWT32 BGP30:BGP32 BQL30:BQL32 CAH30:CAH32 CKD30:CKD32 CTZ30:CTZ32 DDV30:DDV32 DNR30:DNR32 DXN30:DXN32 EHJ30:EHJ32 ERF30:ERF32 FBB30:FBB32 FKX30:FKX32 FUT30:FUT32 GEP30:GEP32 GOL30:GOL32 GYH30:GYH32 HID30:HID32 HRZ30:HRZ32 IBV30:IBV32 ILR30:ILR32 IVN30:IVN32 JFJ30:JFJ32 JPF30:JPF32 JZB30:JZB32 KIX30:KIX32 KST30:KST32 LCP30:LCP32 LML30:LML32 LWH30:LWH32 MGD30:MGD32 MPZ30:MPZ32 MZV30:MZV32 NJR30:NJR32 NTN30:NTN32 ODJ30:ODJ32 ONF30:ONF32 OXB30:OXB32 PGX30:PGX32 PQT30:PQT32 QAP30:QAP32 QKL30:QKL32 QUH30:QUH32 RED30:RED32 RNZ30:RNZ32 RXV30:RXV32 SHR30:SHR32 SRN30:SRN32 TBJ30:TBJ32 TLF30:TLF32 TVB30:TVB32 UEX30:UEX32 UOT30:UOT32 UYP30:UYP32 VIL30:VIL32 VSH30:VSH32 WCD30:WCD32 WLZ30:WLZ32 WVV30:WVV32 WVV983057:WVV983059 WLZ983057:WLZ983059 WCD983057:WCD983059 VSH983057:VSH983059 VIL983057:VIL983059 UYP983057:UYP983059 UOT983057:UOT983059 UEX983057:UEX983059 TVB983057:TVB983059 TLF983057:TLF983059 TBJ983057:TBJ983059 SRN983057:SRN983059 SHR983057:SHR983059 RXV983057:RXV983059 RNZ983057:RNZ983059 RED983057:RED983059 QUH983057:QUH983059 QKL983057:QKL983059 QAP983057:QAP983059 PQT983057:PQT983059 PGX983057:PGX983059 OXB983057:OXB983059 ONF983057:ONF983059 ODJ983057:ODJ983059 NTN983057:NTN983059 NJR983057:NJR983059 MZV983057:MZV983059 MPZ983057:MPZ983059 MGD983057:MGD983059 LWH983057:LWH983059 LML983057:LML983059 LCP983057:LCP983059 KST983057:KST983059 KIX983057:KIX983059 JZB983057:JZB983059 JPF983057:JPF983059 JFJ983057:JFJ983059 IVN983057:IVN983059 ILR983057:ILR983059 IBV983057:IBV983059 HRZ983057:HRZ983059 HID983057:HID983059 GYH983057:GYH983059 GOL983057:GOL983059 GEP983057:GEP983059 FUT983057:FUT983059 FKX983057:FKX983059 FBB983057:FBB983059 ERF983057:ERF983059 EHJ983057:EHJ983059 DXN983057:DXN983059 DNR983057:DNR983059 DDV983057:DDV983059 CTZ983057:CTZ983059 CKD983057:CKD983059 CAH983057:CAH983059 BQL983057:BQL983059 BGP983057:BGP983059 AWT983057:AWT983059 AMX983057:AMX983059 ADB983057:ADB983059 TF983057:TF983059 JJ983057:JJ983059 N983057:N983059 WVV917521:WVV917523 WLZ917521:WLZ917523 WCD917521:WCD917523 VSH917521:VSH917523 VIL917521:VIL917523 UYP917521:UYP917523 UOT917521:UOT917523 UEX917521:UEX917523 TVB917521:TVB917523 TLF917521:TLF917523 TBJ917521:TBJ917523 SRN917521:SRN917523 SHR917521:SHR917523 RXV917521:RXV917523 RNZ917521:RNZ917523 RED917521:RED917523 QUH917521:QUH917523 QKL917521:QKL917523 QAP917521:QAP917523 PQT917521:PQT917523 PGX917521:PGX917523 OXB917521:OXB917523 ONF917521:ONF917523 ODJ917521:ODJ917523 NTN917521:NTN917523 NJR917521:NJR917523 MZV917521:MZV917523 MPZ917521:MPZ917523 MGD917521:MGD917523 LWH917521:LWH917523 LML917521:LML917523 LCP917521:LCP917523 KST917521:KST917523 KIX917521:KIX917523 JZB917521:JZB917523 JPF917521:JPF917523 JFJ917521:JFJ917523 IVN917521:IVN917523 ILR917521:ILR917523 IBV917521:IBV917523 HRZ917521:HRZ917523 HID917521:HID917523 GYH917521:GYH917523 GOL917521:GOL917523 GEP917521:GEP917523 FUT917521:FUT917523 FKX917521:FKX917523 FBB917521:FBB917523 ERF917521:ERF917523 EHJ917521:EHJ917523 DXN917521:DXN917523 DNR917521:DNR917523 DDV917521:DDV917523 CTZ917521:CTZ917523 CKD917521:CKD917523 CAH917521:CAH917523 BQL917521:BQL917523 BGP917521:BGP917523 AWT917521:AWT917523 AMX917521:AMX917523 ADB917521:ADB917523 TF917521:TF917523 JJ917521:JJ917523 N917521:N917523 WVV851985:WVV851987 WLZ851985:WLZ851987 WCD851985:WCD851987 VSH851985:VSH851987 VIL851985:VIL851987 UYP851985:UYP851987 UOT851985:UOT851987 UEX851985:UEX851987 TVB851985:TVB851987 TLF851985:TLF851987 TBJ851985:TBJ851987 SRN851985:SRN851987 SHR851985:SHR851987 RXV851985:RXV851987 RNZ851985:RNZ851987 RED851985:RED851987 QUH851985:QUH851987 QKL851985:QKL851987 QAP851985:QAP851987 PQT851985:PQT851987 PGX851985:PGX851987 OXB851985:OXB851987 ONF851985:ONF851987 ODJ851985:ODJ851987 NTN851985:NTN851987 NJR851985:NJR851987 MZV851985:MZV851987 MPZ851985:MPZ851987 MGD851985:MGD851987 LWH851985:LWH851987 LML851985:LML851987 LCP851985:LCP851987 KST851985:KST851987 KIX851985:KIX851987 JZB851985:JZB851987 JPF851985:JPF851987 JFJ851985:JFJ851987 IVN851985:IVN851987 ILR851985:ILR851987 IBV851985:IBV851987 HRZ851985:HRZ851987 HID851985:HID851987 GYH851985:GYH851987 GOL851985:GOL851987 GEP851985:GEP851987 FUT851985:FUT851987 FKX851985:FKX851987 FBB851985:FBB851987 ERF851985:ERF851987 EHJ851985:EHJ851987 DXN851985:DXN851987 DNR851985:DNR851987 DDV851985:DDV851987 CTZ851985:CTZ851987 CKD851985:CKD851987 CAH851985:CAH851987 BQL851985:BQL851987 BGP851985:BGP851987 AWT851985:AWT851987 AMX851985:AMX851987 ADB851985:ADB851987 TF851985:TF851987 JJ851985:JJ851987 N851985:N851987 WVV786449:WVV786451 WLZ786449:WLZ786451 WCD786449:WCD786451 VSH786449:VSH786451 VIL786449:VIL786451 UYP786449:UYP786451 UOT786449:UOT786451 UEX786449:UEX786451 TVB786449:TVB786451 TLF786449:TLF786451 TBJ786449:TBJ786451 SRN786449:SRN786451 SHR786449:SHR786451 RXV786449:RXV786451 RNZ786449:RNZ786451 RED786449:RED786451 QUH786449:QUH786451 QKL786449:QKL786451 QAP786449:QAP786451 PQT786449:PQT786451 PGX786449:PGX786451 OXB786449:OXB786451 ONF786449:ONF786451 ODJ786449:ODJ786451 NTN786449:NTN786451 NJR786449:NJR786451 MZV786449:MZV786451 MPZ786449:MPZ786451 MGD786449:MGD786451 LWH786449:LWH786451 LML786449:LML786451 LCP786449:LCP786451 KST786449:KST786451 KIX786449:KIX786451 JZB786449:JZB786451 JPF786449:JPF786451 JFJ786449:JFJ786451 IVN786449:IVN786451 ILR786449:ILR786451 IBV786449:IBV786451 HRZ786449:HRZ786451 HID786449:HID786451 GYH786449:GYH786451 GOL786449:GOL786451 GEP786449:GEP786451 FUT786449:FUT786451 FKX786449:FKX786451 FBB786449:FBB786451 ERF786449:ERF786451 EHJ786449:EHJ786451 DXN786449:DXN786451 DNR786449:DNR786451 DDV786449:DDV786451 CTZ786449:CTZ786451 CKD786449:CKD786451 CAH786449:CAH786451 BQL786449:BQL786451 BGP786449:BGP786451 AWT786449:AWT786451 AMX786449:AMX786451 ADB786449:ADB786451 TF786449:TF786451 JJ786449:JJ786451 N786449:N786451 WVV720913:WVV720915 WLZ720913:WLZ720915 WCD720913:WCD720915 VSH720913:VSH720915 VIL720913:VIL720915 UYP720913:UYP720915 UOT720913:UOT720915 UEX720913:UEX720915 TVB720913:TVB720915 TLF720913:TLF720915 TBJ720913:TBJ720915 SRN720913:SRN720915 SHR720913:SHR720915 RXV720913:RXV720915 RNZ720913:RNZ720915 RED720913:RED720915 QUH720913:QUH720915 QKL720913:QKL720915 QAP720913:QAP720915 PQT720913:PQT720915 PGX720913:PGX720915 OXB720913:OXB720915 ONF720913:ONF720915 ODJ720913:ODJ720915 NTN720913:NTN720915 NJR720913:NJR720915 MZV720913:MZV720915 MPZ720913:MPZ720915 MGD720913:MGD720915 LWH720913:LWH720915 LML720913:LML720915 LCP720913:LCP720915 KST720913:KST720915 KIX720913:KIX720915 JZB720913:JZB720915 JPF720913:JPF720915 JFJ720913:JFJ720915 IVN720913:IVN720915 ILR720913:ILR720915 IBV720913:IBV720915 HRZ720913:HRZ720915 HID720913:HID720915 GYH720913:GYH720915 GOL720913:GOL720915 GEP720913:GEP720915 FUT720913:FUT720915 FKX720913:FKX720915 FBB720913:FBB720915 ERF720913:ERF720915 EHJ720913:EHJ720915 DXN720913:DXN720915 DNR720913:DNR720915 DDV720913:DDV720915 CTZ720913:CTZ720915 CKD720913:CKD720915 CAH720913:CAH720915 BQL720913:BQL720915 BGP720913:BGP720915 AWT720913:AWT720915 AMX720913:AMX720915 ADB720913:ADB720915 TF720913:TF720915 JJ720913:JJ720915 N720913:N720915 WVV655377:WVV655379 WLZ655377:WLZ655379 WCD655377:WCD655379 VSH655377:VSH655379 VIL655377:VIL655379 UYP655377:UYP655379 UOT655377:UOT655379 UEX655377:UEX655379 TVB655377:TVB655379 TLF655377:TLF655379 TBJ655377:TBJ655379 SRN655377:SRN655379 SHR655377:SHR655379 RXV655377:RXV655379 RNZ655377:RNZ655379 RED655377:RED655379 QUH655377:QUH655379 QKL655377:QKL655379 QAP655377:QAP655379 PQT655377:PQT655379 PGX655377:PGX655379 OXB655377:OXB655379 ONF655377:ONF655379 ODJ655377:ODJ655379 NTN655377:NTN655379 NJR655377:NJR655379 MZV655377:MZV655379 MPZ655377:MPZ655379 MGD655377:MGD655379 LWH655377:LWH655379 LML655377:LML655379 LCP655377:LCP655379 KST655377:KST655379 KIX655377:KIX655379 JZB655377:JZB655379 JPF655377:JPF655379 JFJ655377:JFJ655379 IVN655377:IVN655379 ILR655377:ILR655379 IBV655377:IBV655379 HRZ655377:HRZ655379 HID655377:HID655379 GYH655377:GYH655379 GOL655377:GOL655379 GEP655377:GEP655379 FUT655377:FUT655379 FKX655377:FKX655379 FBB655377:FBB655379 ERF655377:ERF655379 EHJ655377:EHJ655379 DXN655377:DXN655379 DNR655377:DNR655379 DDV655377:DDV655379 CTZ655377:CTZ655379 CKD655377:CKD655379 CAH655377:CAH655379 BQL655377:BQL655379 BGP655377:BGP655379 AWT655377:AWT655379 AMX655377:AMX655379 ADB655377:ADB655379 TF655377:TF655379 JJ655377:JJ655379 N655377:N655379 WVV589841:WVV589843 WLZ589841:WLZ589843 WCD589841:WCD589843 VSH589841:VSH589843 VIL589841:VIL589843 UYP589841:UYP589843 UOT589841:UOT589843 UEX589841:UEX589843 TVB589841:TVB589843 TLF589841:TLF589843 TBJ589841:TBJ589843 SRN589841:SRN589843 SHR589841:SHR589843 RXV589841:RXV589843 RNZ589841:RNZ589843 RED589841:RED589843 QUH589841:QUH589843 QKL589841:QKL589843 QAP589841:QAP589843 PQT589841:PQT589843 PGX589841:PGX589843 OXB589841:OXB589843 ONF589841:ONF589843 ODJ589841:ODJ589843 NTN589841:NTN589843 NJR589841:NJR589843 MZV589841:MZV589843 MPZ589841:MPZ589843 MGD589841:MGD589843 LWH589841:LWH589843 LML589841:LML589843 LCP589841:LCP589843 KST589841:KST589843 KIX589841:KIX589843 JZB589841:JZB589843 JPF589841:JPF589843 JFJ589841:JFJ589843 IVN589841:IVN589843 ILR589841:ILR589843 IBV589841:IBV589843 HRZ589841:HRZ589843 HID589841:HID589843 GYH589841:GYH589843 GOL589841:GOL589843 GEP589841:GEP589843 FUT589841:FUT589843 FKX589841:FKX589843 FBB589841:FBB589843 ERF589841:ERF589843 EHJ589841:EHJ589843 DXN589841:DXN589843 DNR589841:DNR589843 DDV589841:DDV589843 CTZ589841:CTZ589843 CKD589841:CKD589843 CAH589841:CAH589843 BQL589841:BQL589843 BGP589841:BGP589843 AWT589841:AWT589843 AMX589841:AMX589843 ADB589841:ADB589843 TF589841:TF589843 JJ589841:JJ589843 N589841:N589843 WVV524305:WVV524307 WLZ524305:WLZ524307 WCD524305:WCD524307 VSH524305:VSH524307 VIL524305:VIL524307 UYP524305:UYP524307 UOT524305:UOT524307 UEX524305:UEX524307 TVB524305:TVB524307 TLF524305:TLF524307 TBJ524305:TBJ524307 SRN524305:SRN524307 SHR524305:SHR524307 RXV524305:RXV524307 RNZ524305:RNZ524307 RED524305:RED524307 QUH524305:QUH524307 QKL524305:QKL524307 QAP524305:QAP524307 PQT524305:PQT524307 PGX524305:PGX524307 OXB524305:OXB524307 ONF524305:ONF524307 ODJ524305:ODJ524307 NTN524305:NTN524307 NJR524305:NJR524307 MZV524305:MZV524307 MPZ524305:MPZ524307 MGD524305:MGD524307 LWH524305:LWH524307 LML524305:LML524307 LCP524305:LCP524307 KST524305:KST524307 KIX524305:KIX524307 JZB524305:JZB524307 JPF524305:JPF524307 JFJ524305:JFJ524307 IVN524305:IVN524307 ILR524305:ILR524307 IBV524305:IBV524307 HRZ524305:HRZ524307 HID524305:HID524307 GYH524305:GYH524307 GOL524305:GOL524307 GEP524305:GEP524307 FUT524305:FUT524307 FKX524305:FKX524307 FBB524305:FBB524307 ERF524305:ERF524307 EHJ524305:EHJ524307 DXN524305:DXN524307 DNR524305:DNR524307 DDV524305:DDV524307 CTZ524305:CTZ524307 CKD524305:CKD524307 CAH524305:CAH524307 BQL524305:BQL524307 BGP524305:BGP524307 AWT524305:AWT524307 AMX524305:AMX524307 ADB524305:ADB524307 TF524305:TF524307 JJ524305:JJ524307 N524305:N524307 WVV458769:WVV458771 WLZ458769:WLZ458771 WCD458769:WCD458771 VSH458769:VSH458771 VIL458769:VIL458771 UYP458769:UYP458771 UOT458769:UOT458771 UEX458769:UEX458771 TVB458769:TVB458771 TLF458769:TLF458771 TBJ458769:TBJ458771 SRN458769:SRN458771 SHR458769:SHR458771 RXV458769:RXV458771 RNZ458769:RNZ458771 RED458769:RED458771 QUH458769:QUH458771 QKL458769:QKL458771 QAP458769:QAP458771 PQT458769:PQT458771 PGX458769:PGX458771 OXB458769:OXB458771 ONF458769:ONF458771 ODJ458769:ODJ458771 NTN458769:NTN458771 NJR458769:NJR458771 MZV458769:MZV458771 MPZ458769:MPZ458771 MGD458769:MGD458771 LWH458769:LWH458771 LML458769:LML458771 LCP458769:LCP458771 KST458769:KST458771 KIX458769:KIX458771 JZB458769:JZB458771 JPF458769:JPF458771 JFJ458769:JFJ458771 IVN458769:IVN458771 ILR458769:ILR458771 IBV458769:IBV458771 HRZ458769:HRZ458771 HID458769:HID458771 GYH458769:GYH458771 GOL458769:GOL458771 GEP458769:GEP458771 FUT458769:FUT458771 FKX458769:FKX458771 FBB458769:FBB458771 ERF458769:ERF458771 EHJ458769:EHJ458771 DXN458769:DXN458771 DNR458769:DNR458771 DDV458769:DDV458771 CTZ458769:CTZ458771 CKD458769:CKD458771 CAH458769:CAH458771 BQL458769:BQL458771 BGP458769:BGP458771 AWT458769:AWT458771 AMX458769:AMX458771 ADB458769:ADB458771 TF458769:TF458771 JJ458769:JJ458771 N458769:N458771 WVV393233:WVV393235 WLZ393233:WLZ393235 WCD393233:WCD393235 VSH393233:VSH393235 VIL393233:VIL393235 UYP393233:UYP393235 UOT393233:UOT393235 UEX393233:UEX393235 TVB393233:TVB393235 TLF393233:TLF393235 TBJ393233:TBJ393235 SRN393233:SRN393235 SHR393233:SHR393235 RXV393233:RXV393235 RNZ393233:RNZ393235 RED393233:RED393235 QUH393233:QUH393235 QKL393233:QKL393235 QAP393233:QAP393235 PQT393233:PQT393235 PGX393233:PGX393235 OXB393233:OXB393235 ONF393233:ONF393235 ODJ393233:ODJ393235 NTN393233:NTN393235 NJR393233:NJR393235 MZV393233:MZV393235 MPZ393233:MPZ393235 MGD393233:MGD393235 LWH393233:LWH393235 LML393233:LML393235 LCP393233:LCP393235 KST393233:KST393235 KIX393233:KIX393235 JZB393233:JZB393235 JPF393233:JPF393235 JFJ393233:JFJ393235 IVN393233:IVN393235 ILR393233:ILR393235 IBV393233:IBV393235 HRZ393233:HRZ393235 HID393233:HID393235 GYH393233:GYH393235 GOL393233:GOL393235 GEP393233:GEP393235 FUT393233:FUT393235 FKX393233:FKX393235 FBB393233:FBB393235 ERF393233:ERF393235 EHJ393233:EHJ393235 DXN393233:DXN393235 DNR393233:DNR393235 DDV393233:DDV393235 CTZ393233:CTZ393235 CKD393233:CKD393235 CAH393233:CAH393235 BQL393233:BQL393235 BGP393233:BGP393235 AWT393233:AWT393235 AMX393233:AMX393235 ADB393233:ADB393235 TF393233:TF393235 JJ393233:JJ393235 N393233:N393235 WVV327697:WVV327699 WLZ327697:WLZ327699 WCD327697:WCD327699 VSH327697:VSH327699 VIL327697:VIL327699 UYP327697:UYP327699 UOT327697:UOT327699 UEX327697:UEX327699 TVB327697:TVB327699 TLF327697:TLF327699 TBJ327697:TBJ327699 SRN327697:SRN327699 SHR327697:SHR327699 RXV327697:RXV327699 RNZ327697:RNZ327699 RED327697:RED327699 QUH327697:QUH327699 QKL327697:QKL327699 QAP327697:QAP327699 PQT327697:PQT327699 PGX327697:PGX327699 OXB327697:OXB327699 ONF327697:ONF327699 ODJ327697:ODJ327699 NTN327697:NTN327699 NJR327697:NJR327699 MZV327697:MZV327699 MPZ327697:MPZ327699 MGD327697:MGD327699 LWH327697:LWH327699 LML327697:LML327699 LCP327697:LCP327699 KST327697:KST327699 KIX327697:KIX327699 JZB327697:JZB327699 JPF327697:JPF327699 JFJ327697:JFJ327699 IVN327697:IVN327699 ILR327697:ILR327699 IBV327697:IBV327699 HRZ327697:HRZ327699 HID327697:HID327699 GYH327697:GYH327699 GOL327697:GOL327699 GEP327697:GEP327699 FUT327697:FUT327699 FKX327697:FKX327699 FBB327697:FBB327699 ERF327697:ERF327699 EHJ327697:EHJ327699 DXN327697:DXN327699 DNR327697:DNR327699 DDV327697:DDV327699 CTZ327697:CTZ327699 CKD327697:CKD327699 CAH327697:CAH327699 BQL327697:BQL327699 BGP327697:BGP327699 AWT327697:AWT327699 AMX327697:AMX327699 ADB327697:ADB327699 TF327697:TF327699 JJ327697:JJ327699 N327697:N327699 WVV262161:WVV262163 WLZ262161:WLZ262163 WCD262161:WCD262163 VSH262161:VSH262163 VIL262161:VIL262163 UYP262161:UYP262163 UOT262161:UOT262163 UEX262161:UEX262163 TVB262161:TVB262163 TLF262161:TLF262163 TBJ262161:TBJ262163 SRN262161:SRN262163 SHR262161:SHR262163 RXV262161:RXV262163 RNZ262161:RNZ262163 RED262161:RED262163 QUH262161:QUH262163 QKL262161:QKL262163 QAP262161:QAP262163 PQT262161:PQT262163 PGX262161:PGX262163 OXB262161:OXB262163 ONF262161:ONF262163 ODJ262161:ODJ262163 NTN262161:NTN262163 NJR262161:NJR262163 MZV262161:MZV262163 MPZ262161:MPZ262163 MGD262161:MGD262163 LWH262161:LWH262163 LML262161:LML262163 LCP262161:LCP262163 KST262161:KST262163 KIX262161:KIX262163 JZB262161:JZB262163 JPF262161:JPF262163 JFJ262161:JFJ262163 IVN262161:IVN262163 ILR262161:ILR262163 IBV262161:IBV262163 HRZ262161:HRZ262163 HID262161:HID262163 GYH262161:GYH262163 GOL262161:GOL262163 GEP262161:GEP262163 FUT262161:FUT262163 FKX262161:FKX262163 FBB262161:FBB262163 ERF262161:ERF262163 EHJ262161:EHJ262163 DXN262161:DXN262163 DNR262161:DNR262163 DDV262161:DDV262163 CTZ262161:CTZ262163 CKD262161:CKD262163 CAH262161:CAH262163 BQL262161:BQL262163 BGP262161:BGP262163 AWT262161:AWT262163 AMX262161:AMX262163 ADB262161:ADB262163 TF262161:TF262163 JJ262161:JJ262163 N262161:N262163 WVV196625:WVV196627 WLZ196625:WLZ196627 WCD196625:WCD196627 VSH196625:VSH196627 VIL196625:VIL196627 UYP196625:UYP196627 UOT196625:UOT196627 UEX196625:UEX196627 TVB196625:TVB196627 TLF196625:TLF196627 TBJ196625:TBJ196627 SRN196625:SRN196627 SHR196625:SHR196627 RXV196625:RXV196627 RNZ196625:RNZ196627 RED196625:RED196627 QUH196625:QUH196627 QKL196625:QKL196627 QAP196625:QAP196627 PQT196625:PQT196627 PGX196625:PGX196627 OXB196625:OXB196627 ONF196625:ONF196627 ODJ196625:ODJ196627 NTN196625:NTN196627 NJR196625:NJR196627 MZV196625:MZV196627 MPZ196625:MPZ196627 MGD196625:MGD196627 LWH196625:LWH196627 LML196625:LML196627 LCP196625:LCP196627 KST196625:KST196627 KIX196625:KIX196627 JZB196625:JZB196627 JPF196625:JPF196627 JFJ196625:JFJ196627 IVN196625:IVN196627 ILR196625:ILR196627 IBV196625:IBV196627 HRZ196625:HRZ196627 HID196625:HID196627 GYH196625:GYH196627 GOL196625:GOL196627 GEP196625:GEP196627 FUT196625:FUT196627 FKX196625:FKX196627 FBB196625:FBB196627 ERF196625:ERF196627 EHJ196625:EHJ196627 DXN196625:DXN196627 DNR196625:DNR196627 DDV196625:DDV196627 CTZ196625:CTZ196627 CKD196625:CKD196627 CAH196625:CAH196627 BQL196625:BQL196627 BGP196625:BGP196627 AWT196625:AWT196627 AMX196625:AMX196627 ADB196625:ADB196627 TF196625:TF196627 JJ196625:JJ196627 N196625:N196627 WVV131089:WVV131091 WLZ131089:WLZ131091 WCD131089:WCD131091 VSH131089:VSH131091 VIL131089:VIL131091 UYP131089:UYP131091 UOT131089:UOT131091 UEX131089:UEX131091 TVB131089:TVB131091 TLF131089:TLF131091 TBJ131089:TBJ131091 SRN131089:SRN131091 SHR131089:SHR131091 RXV131089:RXV131091 RNZ131089:RNZ131091 RED131089:RED131091 QUH131089:QUH131091 QKL131089:QKL131091 QAP131089:QAP131091 PQT131089:PQT131091 PGX131089:PGX131091 OXB131089:OXB131091 ONF131089:ONF131091 ODJ131089:ODJ131091 NTN131089:NTN131091 NJR131089:NJR131091 MZV131089:MZV131091 MPZ131089:MPZ131091 MGD131089:MGD131091 LWH131089:LWH131091 LML131089:LML131091 LCP131089:LCP131091 KST131089:KST131091 KIX131089:KIX131091 JZB131089:JZB131091 JPF131089:JPF131091 JFJ131089:JFJ131091 IVN131089:IVN131091 ILR131089:ILR131091 IBV131089:IBV131091 HRZ131089:HRZ131091 HID131089:HID131091 GYH131089:GYH131091 GOL131089:GOL131091 GEP131089:GEP131091 FUT131089:FUT131091 FKX131089:FKX131091 FBB131089:FBB131091 ERF131089:ERF131091 EHJ131089:EHJ131091 DXN131089:DXN131091 DNR131089:DNR131091 DDV131089:DDV131091 CTZ131089:CTZ131091 CKD131089:CKD131091 CAH131089:CAH131091 BQL131089:BQL131091 BGP131089:BGP131091 AWT131089:AWT131091 AMX131089:AMX131091 ADB131089:ADB131091 TF131089:TF131091 JJ131089:JJ131091 N131089:N131091 WVV65553:WVV65555 WLZ65553:WLZ65555 WCD65553:WCD65555 VSH65553:VSH65555 VIL65553:VIL65555 UYP65553:UYP65555 UOT65553:UOT65555 UEX65553:UEX65555 TVB65553:TVB65555 TLF65553:TLF65555 TBJ65553:TBJ65555 SRN65553:SRN65555 SHR65553:SHR65555 RXV65553:RXV65555 RNZ65553:RNZ65555 RED65553:RED65555 QUH65553:QUH65555 QKL65553:QKL65555 QAP65553:QAP65555 PQT65553:PQT65555 PGX65553:PGX65555 OXB65553:OXB65555 ONF65553:ONF65555 ODJ65553:ODJ65555 NTN65553:NTN65555 NJR65553:NJR65555 MZV65553:MZV65555 MPZ65553:MPZ65555 MGD65553:MGD65555 LWH65553:LWH65555 LML65553:LML65555 LCP65553:LCP65555 KST65553:KST65555 KIX65553:KIX65555 JZB65553:JZB65555 JPF65553:JPF65555 JFJ65553:JFJ65555 IVN65553:IVN65555 ILR65553:ILR65555 IBV65553:IBV65555 HRZ65553:HRZ65555 HID65553:HID65555 GYH65553:GYH65555 GOL65553:GOL65555 GEP65553:GEP65555 FUT65553:FUT65555 FKX65553:FKX65555 FBB65553:FBB65555 ERF65553:ERF65555 EHJ65553:EHJ65555 DXN65553:DXN65555 DNR65553:DNR65555 DDV65553:DDV65555 CTZ65553:CTZ65555 CKD65553:CKD65555 CAH65553:CAH65555 BQL65553:BQL65555 BGP65553:BGP65555 AWT65553:AWT65555 AMX65553:AMX65555 ADB65553:ADB65555 TF65553:TF65555 JJ65553:JJ65555">
      <formula1>$L$17:$L$21</formula1>
    </dataValidation>
    <dataValidation type="list" allowBlank="1" showInputMessage="1" showErrorMessage="1" sqref="D51 IX59 ST59 ACP59 AML59 AWH59 BGD59 BPZ59 BZV59 CJR59 CTN59 DDJ59 DNF59 DXB59 EGX59 EQT59 FAP59 FKL59 FUH59 GED59 GNZ59 GXV59 HHR59 HRN59 IBJ59 ILF59 IVB59 JEX59 JOT59 JYP59 KIL59 KSH59 LCD59 LLZ59 LVV59 MFR59 MPN59 MZJ59 NJF59 NTB59 OCX59 OMT59 OWP59 PGL59 PQH59 QAD59 QJZ59 QTV59 RDR59 RNN59 RXJ59 SHF59 SRB59 TAX59 TKT59 TUP59 UEL59 UOH59 UYD59 VHZ59 VRV59 WBR59 WLN59 WVJ59 B65569 IX65569 ST65569 ACP65569 AML65569 AWH65569 BGD65569 BPZ65569 BZV65569 CJR65569 CTN65569 DDJ65569 DNF65569 DXB65569 EGX65569 EQT65569 FAP65569 FKL65569 FUH65569 GED65569 GNZ65569 GXV65569 HHR65569 HRN65569 IBJ65569 ILF65569 IVB65569 JEX65569 JOT65569 JYP65569 KIL65569 KSH65569 LCD65569 LLZ65569 LVV65569 MFR65569 MPN65569 MZJ65569 NJF65569 NTB65569 OCX65569 OMT65569 OWP65569 PGL65569 PQH65569 QAD65569 QJZ65569 QTV65569 RDR65569 RNN65569 RXJ65569 SHF65569 SRB65569 TAX65569 TKT65569 TUP65569 UEL65569 UOH65569 UYD65569 VHZ65569 VRV65569 WBR65569 WLN65569 WVJ65569 B131105 IX131105 ST131105 ACP131105 AML131105 AWH131105 BGD131105 BPZ131105 BZV131105 CJR131105 CTN131105 DDJ131105 DNF131105 DXB131105 EGX131105 EQT131105 FAP131105 FKL131105 FUH131105 GED131105 GNZ131105 GXV131105 HHR131105 HRN131105 IBJ131105 ILF131105 IVB131105 JEX131105 JOT131105 JYP131105 KIL131105 KSH131105 LCD131105 LLZ131105 LVV131105 MFR131105 MPN131105 MZJ131105 NJF131105 NTB131105 OCX131105 OMT131105 OWP131105 PGL131105 PQH131105 QAD131105 QJZ131105 QTV131105 RDR131105 RNN131105 RXJ131105 SHF131105 SRB131105 TAX131105 TKT131105 TUP131105 UEL131105 UOH131105 UYD131105 VHZ131105 VRV131105 WBR131105 WLN131105 WVJ131105 B196641 IX196641 ST196641 ACP196641 AML196641 AWH196641 BGD196641 BPZ196641 BZV196641 CJR196641 CTN196641 DDJ196641 DNF196641 DXB196641 EGX196641 EQT196641 FAP196641 FKL196641 FUH196641 GED196641 GNZ196641 GXV196641 HHR196641 HRN196641 IBJ196641 ILF196641 IVB196641 JEX196641 JOT196641 JYP196641 KIL196641 KSH196641 LCD196641 LLZ196641 LVV196641 MFR196641 MPN196641 MZJ196641 NJF196641 NTB196641 OCX196641 OMT196641 OWP196641 PGL196641 PQH196641 QAD196641 QJZ196641 QTV196641 RDR196641 RNN196641 RXJ196641 SHF196641 SRB196641 TAX196641 TKT196641 TUP196641 UEL196641 UOH196641 UYD196641 VHZ196641 VRV196641 WBR196641 WLN196641 WVJ196641 B262177 IX262177 ST262177 ACP262177 AML262177 AWH262177 BGD262177 BPZ262177 BZV262177 CJR262177 CTN262177 DDJ262177 DNF262177 DXB262177 EGX262177 EQT262177 FAP262177 FKL262177 FUH262177 GED262177 GNZ262177 GXV262177 HHR262177 HRN262177 IBJ262177 ILF262177 IVB262177 JEX262177 JOT262177 JYP262177 KIL262177 KSH262177 LCD262177 LLZ262177 LVV262177 MFR262177 MPN262177 MZJ262177 NJF262177 NTB262177 OCX262177 OMT262177 OWP262177 PGL262177 PQH262177 QAD262177 QJZ262177 QTV262177 RDR262177 RNN262177 RXJ262177 SHF262177 SRB262177 TAX262177 TKT262177 TUP262177 UEL262177 UOH262177 UYD262177 VHZ262177 VRV262177 WBR262177 WLN262177 WVJ262177 B327713 IX327713 ST327713 ACP327713 AML327713 AWH327713 BGD327713 BPZ327713 BZV327713 CJR327713 CTN327713 DDJ327713 DNF327713 DXB327713 EGX327713 EQT327713 FAP327713 FKL327713 FUH327713 GED327713 GNZ327713 GXV327713 HHR327713 HRN327713 IBJ327713 ILF327713 IVB327713 JEX327713 JOT327713 JYP327713 KIL327713 KSH327713 LCD327713 LLZ327713 LVV327713 MFR327713 MPN327713 MZJ327713 NJF327713 NTB327713 OCX327713 OMT327713 OWP327713 PGL327713 PQH327713 QAD327713 QJZ327713 QTV327713 RDR327713 RNN327713 RXJ327713 SHF327713 SRB327713 TAX327713 TKT327713 TUP327713 UEL327713 UOH327713 UYD327713 VHZ327713 VRV327713 WBR327713 WLN327713 WVJ327713 B393249 IX393249 ST393249 ACP393249 AML393249 AWH393249 BGD393249 BPZ393249 BZV393249 CJR393249 CTN393249 DDJ393249 DNF393249 DXB393249 EGX393249 EQT393249 FAP393249 FKL393249 FUH393249 GED393249 GNZ393249 GXV393249 HHR393249 HRN393249 IBJ393249 ILF393249 IVB393249 JEX393249 JOT393249 JYP393249 KIL393249 KSH393249 LCD393249 LLZ393249 LVV393249 MFR393249 MPN393249 MZJ393249 NJF393249 NTB393249 OCX393249 OMT393249 OWP393249 PGL393249 PQH393249 QAD393249 QJZ393249 QTV393249 RDR393249 RNN393249 RXJ393249 SHF393249 SRB393249 TAX393249 TKT393249 TUP393249 UEL393249 UOH393249 UYD393249 VHZ393249 VRV393249 WBR393249 WLN393249 WVJ393249 B458785 IX458785 ST458785 ACP458785 AML458785 AWH458785 BGD458785 BPZ458785 BZV458785 CJR458785 CTN458785 DDJ458785 DNF458785 DXB458785 EGX458785 EQT458785 FAP458785 FKL458785 FUH458785 GED458785 GNZ458785 GXV458785 HHR458785 HRN458785 IBJ458785 ILF458785 IVB458785 JEX458785 JOT458785 JYP458785 KIL458785 KSH458785 LCD458785 LLZ458785 LVV458785 MFR458785 MPN458785 MZJ458785 NJF458785 NTB458785 OCX458785 OMT458785 OWP458785 PGL458785 PQH458785 QAD458785 QJZ458785 QTV458785 RDR458785 RNN458785 RXJ458785 SHF458785 SRB458785 TAX458785 TKT458785 TUP458785 UEL458785 UOH458785 UYD458785 VHZ458785 VRV458785 WBR458785 WLN458785 WVJ458785 B524321 IX524321 ST524321 ACP524321 AML524321 AWH524321 BGD524321 BPZ524321 BZV524321 CJR524321 CTN524321 DDJ524321 DNF524321 DXB524321 EGX524321 EQT524321 FAP524321 FKL524321 FUH524321 GED524321 GNZ524321 GXV524321 HHR524321 HRN524321 IBJ524321 ILF524321 IVB524321 JEX524321 JOT524321 JYP524321 KIL524321 KSH524321 LCD524321 LLZ524321 LVV524321 MFR524321 MPN524321 MZJ524321 NJF524321 NTB524321 OCX524321 OMT524321 OWP524321 PGL524321 PQH524321 QAD524321 QJZ524321 QTV524321 RDR524321 RNN524321 RXJ524321 SHF524321 SRB524321 TAX524321 TKT524321 TUP524321 UEL524321 UOH524321 UYD524321 VHZ524321 VRV524321 WBR524321 WLN524321 WVJ524321 B589857 IX589857 ST589857 ACP589857 AML589857 AWH589857 BGD589857 BPZ589857 BZV589857 CJR589857 CTN589857 DDJ589857 DNF589857 DXB589857 EGX589857 EQT589857 FAP589857 FKL589857 FUH589857 GED589857 GNZ589857 GXV589857 HHR589857 HRN589857 IBJ589857 ILF589857 IVB589857 JEX589857 JOT589857 JYP589857 KIL589857 KSH589857 LCD589857 LLZ589857 LVV589857 MFR589857 MPN589857 MZJ589857 NJF589857 NTB589857 OCX589857 OMT589857 OWP589857 PGL589857 PQH589857 QAD589857 QJZ589857 QTV589857 RDR589857 RNN589857 RXJ589857 SHF589857 SRB589857 TAX589857 TKT589857 TUP589857 UEL589857 UOH589857 UYD589857 VHZ589857 VRV589857 WBR589857 WLN589857 WVJ589857 B655393 IX655393 ST655393 ACP655393 AML655393 AWH655393 BGD655393 BPZ655393 BZV655393 CJR655393 CTN655393 DDJ655393 DNF655393 DXB655393 EGX655393 EQT655393 FAP655393 FKL655393 FUH655393 GED655393 GNZ655393 GXV655393 HHR655393 HRN655393 IBJ655393 ILF655393 IVB655393 JEX655393 JOT655393 JYP655393 KIL655393 KSH655393 LCD655393 LLZ655393 LVV655393 MFR655393 MPN655393 MZJ655393 NJF655393 NTB655393 OCX655393 OMT655393 OWP655393 PGL655393 PQH655393 QAD655393 QJZ655393 QTV655393 RDR655393 RNN655393 RXJ655393 SHF655393 SRB655393 TAX655393 TKT655393 TUP655393 UEL655393 UOH655393 UYD655393 VHZ655393 VRV655393 WBR655393 WLN655393 WVJ655393 B720929 IX720929 ST720929 ACP720929 AML720929 AWH720929 BGD720929 BPZ720929 BZV720929 CJR720929 CTN720929 DDJ720929 DNF720929 DXB720929 EGX720929 EQT720929 FAP720929 FKL720929 FUH720929 GED720929 GNZ720929 GXV720929 HHR720929 HRN720929 IBJ720929 ILF720929 IVB720929 JEX720929 JOT720929 JYP720929 KIL720929 KSH720929 LCD720929 LLZ720929 LVV720929 MFR720929 MPN720929 MZJ720929 NJF720929 NTB720929 OCX720929 OMT720929 OWP720929 PGL720929 PQH720929 QAD720929 QJZ720929 QTV720929 RDR720929 RNN720929 RXJ720929 SHF720929 SRB720929 TAX720929 TKT720929 TUP720929 UEL720929 UOH720929 UYD720929 VHZ720929 VRV720929 WBR720929 WLN720929 WVJ720929 B786465 IX786465 ST786465 ACP786465 AML786465 AWH786465 BGD786465 BPZ786465 BZV786465 CJR786465 CTN786465 DDJ786465 DNF786465 DXB786465 EGX786465 EQT786465 FAP786465 FKL786465 FUH786465 GED786465 GNZ786465 GXV786465 HHR786465 HRN786465 IBJ786465 ILF786465 IVB786465 JEX786465 JOT786465 JYP786465 KIL786465 KSH786465 LCD786465 LLZ786465 LVV786465 MFR786465 MPN786465 MZJ786465 NJF786465 NTB786465 OCX786465 OMT786465 OWP786465 PGL786465 PQH786465 QAD786465 QJZ786465 QTV786465 RDR786465 RNN786465 RXJ786465 SHF786465 SRB786465 TAX786465 TKT786465 TUP786465 UEL786465 UOH786465 UYD786465 VHZ786465 VRV786465 WBR786465 WLN786465 WVJ786465 B852001 IX852001 ST852001 ACP852001 AML852001 AWH852001 BGD852001 BPZ852001 BZV852001 CJR852001 CTN852001 DDJ852001 DNF852001 DXB852001 EGX852001 EQT852001 FAP852001 FKL852001 FUH852001 GED852001 GNZ852001 GXV852001 HHR852001 HRN852001 IBJ852001 ILF852001 IVB852001 JEX852001 JOT852001 JYP852001 KIL852001 KSH852001 LCD852001 LLZ852001 LVV852001 MFR852001 MPN852001 MZJ852001 NJF852001 NTB852001 OCX852001 OMT852001 OWP852001 PGL852001 PQH852001 QAD852001 QJZ852001 QTV852001 RDR852001 RNN852001 RXJ852001 SHF852001 SRB852001 TAX852001 TKT852001 TUP852001 UEL852001 UOH852001 UYD852001 VHZ852001 VRV852001 WBR852001 WLN852001 WVJ852001 B917537 IX917537 ST917537 ACP917537 AML917537 AWH917537 BGD917537 BPZ917537 BZV917537 CJR917537 CTN917537 DDJ917537 DNF917537 DXB917537 EGX917537 EQT917537 FAP917537 FKL917537 FUH917537 GED917537 GNZ917537 GXV917537 HHR917537 HRN917537 IBJ917537 ILF917537 IVB917537 JEX917537 JOT917537 JYP917537 KIL917537 KSH917537 LCD917537 LLZ917537 LVV917537 MFR917537 MPN917537 MZJ917537 NJF917537 NTB917537 OCX917537 OMT917537 OWP917537 PGL917537 PQH917537 QAD917537 QJZ917537 QTV917537 RDR917537 RNN917537 RXJ917537 SHF917537 SRB917537 TAX917537 TKT917537 TUP917537 UEL917537 UOH917537 UYD917537 VHZ917537 VRV917537 WBR917537 WLN917537 WVJ917537 B983073 IX983073 ST983073 ACP983073 AML983073 AWH983073 BGD983073 BPZ983073 BZV983073 CJR983073 CTN983073 DDJ983073 DNF983073 DXB983073 EGX983073 EQT983073 FAP983073 FKL983073 FUH983073 GED983073 GNZ983073 GXV983073 HHR983073 HRN983073 IBJ983073 ILF983073 IVB983073 JEX983073 JOT983073 JYP983073 KIL983073 KSH983073 LCD983073 LLZ983073 LVV983073 MFR983073 MPN983073 MZJ983073 NJF983073 NTB983073 OCX983073 OMT983073 OWP983073 PGL983073 PQH983073 QAD983073 QJZ983073 QTV983073 RDR983073 RNN983073 RXJ983073 SHF983073 SRB983073 TAX983073 TKT983073 TUP983073 UEL983073 UOH983073 UYD983073 VHZ983073 VRV983073 WBR983073 WLN983073 WVJ983073">
      <formula1>$B$36:$B$37</formula1>
    </dataValidation>
    <dataValidation type="list" allowBlank="1" showInputMessage="1" showErrorMessage="1" sqref="C30:C31">
      <formula1>$D$17:$D$21</formula1>
    </dataValidation>
    <dataValidation type="decimal" operator="greaterThan" allowBlank="1" showInputMessage="1" showErrorMessage="1" sqref="C65579 IY65579 SU65579 ACQ65579 AMM65579 AWI65579 BGE65579 BQA65579 BZW65579 CJS65579 CTO65579 DDK65579 DNG65579 DXC65579 EGY65579 EQU65579 FAQ65579 FKM65579 FUI65579 GEE65579 GOA65579 GXW65579 HHS65579 HRO65579 IBK65579 ILG65579 IVC65579 JEY65579 JOU65579 JYQ65579 KIM65579 KSI65579 LCE65579 LMA65579 LVW65579 MFS65579 MPO65579 MZK65579 NJG65579 NTC65579 OCY65579 OMU65579 OWQ65579 PGM65579 PQI65579 QAE65579 QKA65579 QTW65579 RDS65579 RNO65579 RXK65579 SHG65579 SRC65579 TAY65579 TKU65579 TUQ65579 UEM65579 UOI65579 UYE65579 VIA65579 VRW65579 WBS65579 WLO65579 WVK65579 C131115 IY131115 SU131115 ACQ131115 AMM131115 AWI131115 BGE131115 BQA131115 BZW131115 CJS131115 CTO131115 DDK131115 DNG131115 DXC131115 EGY131115 EQU131115 FAQ131115 FKM131115 FUI131115 GEE131115 GOA131115 GXW131115 HHS131115 HRO131115 IBK131115 ILG131115 IVC131115 JEY131115 JOU131115 JYQ131115 KIM131115 KSI131115 LCE131115 LMA131115 LVW131115 MFS131115 MPO131115 MZK131115 NJG131115 NTC131115 OCY131115 OMU131115 OWQ131115 PGM131115 PQI131115 QAE131115 QKA131115 QTW131115 RDS131115 RNO131115 RXK131115 SHG131115 SRC131115 TAY131115 TKU131115 TUQ131115 UEM131115 UOI131115 UYE131115 VIA131115 VRW131115 WBS131115 WLO131115 WVK131115 C196651 IY196651 SU196651 ACQ196651 AMM196651 AWI196651 BGE196651 BQA196651 BZW196651 CJS196651 CTO196651 DDK196651 DNG196651 DXC196651 EGY196651 EQU196651 FAQ196651 FKM196651 FUI196651 GEE196651 GOA196651 GXW196651 HHS196651 HRO196651 IBK196651 ILG196651 IVC196651 JEY196651 JOU196651 JYQ196651 KIM196651 KSI196651 LCE196651 LMA196651 LVW196651 MFS196651 MPO196651 MZK196651 NJG196651 NTC196651 OCY196651 OMU196651 OWQ196651 PGM196651 PQI196651 QAE196651 QKA196651 QTW196651 RDS196651 RNO196651 RXK196651 SHG196651 SRC196651 TAY196651 TKU196651 TUQ196651 UEM196651 UOI196651 UYE196651 VIA196651 VRW196651 WBS196651 WLO196651 WVK196651 C262187 IY262187 SU262187 ACQ262187 AMM262187 AWI262187 BGE262187 BQA262187 BZW262187 CJS262187 CTO262187 DDK262187 DNG262187 DXC262187 EGY262187 EQU262187 FAQ262187 FKM262187 FUI262187 GEE262187 GOA262187 GXW262187 HHS262187 HRO262187 IBK262187 ILG262187 IVC262187 JEY262187 JOU262187 JYQ262187 KIM262187 KSI262187 LCE262187 LMA262187 LVW262187 MFS262187 MPO262187 MZK262187 NJG262187 NTC262187 OCY262187 OMU262187 OWQ262187 PGM262187 PQI262187 QAE262187 QKA262187 QTW262187 RDS262187 RNO262187 RXK262187 SHG262187 SRC262187 TAY262187 TKU262187 TUQ262187 UEM262187 UOI262187 UYE262187 VIA262187 VRW262187 WBS262187 WLO262187 WVK262187 C327723 IY327723 SU327723 ACQ327723 AMM327723 AWI327723 BGE327723 BQA327723 BZW327723 CJS327723 CTO327723 DDK327723 DNG327723 DXC327723 EGY327723 EQU327723 FAQ327723 FKM327723 FUI327723 GEE327723 GOA327723 GXW327723 HHS327723 HRO327723 IBK327723 ILG327723 IVC327723 JEY327723 JOU327723 JYQ327723 KIM327723 KSI327723 LCE327723 LMA327723 LVW327723 MFS327723 MPO327723 MZK327723 NJG327723 NTC327723 OCY327723 OMU327723 OWQ327723 PGM327723 PQI327723 QAE327723 QKA327723 QTW327723 RDS327723 RNO327723 RXK327723 SHG327723 SRC327723 TAY327723 TKU327723 TUQ327723 UEM327723 UOI327723 UYE327723 VIA327723 VRW327723 WBS327723 WLO327723 WVK327723 C393259 IY393259 SU393259 ACQ393259 AMM393259 AWI393259 BGE393259 BQA393259 BZW393259 CJS393259 CTO393259 DDK393259 DNG393259 DXC393259 EGY393259 EQU393259 FAQ393259 FKM393259 FUI393259 GEE393259 GOA393259 GXW393259 HHS393259 HRO393259 IBK393259 ILG393259 IVC393259 JEY393259 JOU393259 JYQ393259 KIM393259 KSI393259 LCE393259 LMA393259 LVW393259 MFS393259 MPO393259 MZK393259 NJG393259 NTC393259 OCY393259 OMU393259 OWQ393259 PGM393259 PQI393259 QAE393259 QKA393259 QTW393259 RDS393259 RNO393259 RXK393259 SHG393259 SRC393259 TAY393259 TKU393259 TUQ393259 UEM393259 UOI393259 UYE393259 VIA393259 VRW393259 WBS393259 WLO393259 WVK393259 C458795 IY458795 SU458795 ACQ458795 AMM458795 AWI458795 BGE458795 BQA458795 BZW458795 CJS458795 CTO458795 DDK458795 DNG458795 DXC458795 EGY458795 EQU458795 FAQ458795 FKM458795 FUI458795 GEE458795 GOA458795 GXW458795 HHS458795 HRO458795 IBK458795 ILG458795 IVC458795 JEY458795 JOU458795 JYQ458795 KIM458795 KSI458795 LCE458795 LMA458795 LVW458795 MFS458795 MPO458795 MZK458795 NJG458795 NTC458795 OCY458795 OMU458795 OWQ458795 PGM458795 PQI458795 QAE458795 QKA458795 QTW458795 RDS458795 RNO458795 RXK458795 SHG458795 SRC458795 TAY458795 TKU458795 TUQ458795 UEM458795 UOI458795 UYE458795 VIA458795 VRW458795 WBS458795 WLO458795 WVK458795 C524331 IY524331 SU524331 ACQ524331 AMM524331 AWI524331 BGE524331 BQA524331 BZW524331 CJS524331 CTO524331 DDK524331 DNG524331 DXC524331 EGY524331 EQU524331 FAQ524331 FKM524331 FUI524331 GEE524331 GOA524331 GXW524331 HHS524331 HRO524331 IBK524331 ILG524331 IVC524331 JEY524331 JOU524331 JYQ524331 KIM524331 KSI524331 LCE524331 LMA524331 LVW524331 MFS524331 MPO524331 MZK524331 NJG524331 NTC524331 OCY524331 OMU524331 OWQ524331 PGM524331 PQI524331 QAE524331 QKA524331 QTW524331 RDS524331 RNO524331 RXK524331 SHG524331 SRC524331 TAY524331 TKU524331 TUQ524331 UEM524331 UOI524331 UYE524331 VIA524331 VRW524331 WBS524331 WLO524331 WVK524331 C589867 IY589867 SU589867 ACQ589867 AMM589867 AWI589867 BGE589867 BQA589867 BZW589867 CJS589867 CTO589867 DDK589867 DNG589867 DXC589867 EGY589867 EQU589867 FAQ589867 FKM589867 FUI589867 GEE589867 GOA589867 GXW589867 HHS589867 HRO589867 IBK589867 ILG589867 IVC589867 JEY589867 JOU589867 JYQ589867 KIM589867 KSI589867 LCE589867 LMA589867 LVW589867 MFS589867 MPO589867 MZK589867 NJG589867 NTC589867 OCY589867 OMU589867 OWQ589867 PGM589867 PQI589867 QAE589867 QKA589867 QTW589867 RDS589867 RNO589867 RXK589867 SHG589867 SRC589867 TAY589867 TKU589867 TUQ589867 UEM589867 UOI589867 UYE589867 VIA589867 VRW589867 WBS589867 WLO589867 WVK589867 C655403 IY655403 SU655403 ACQ655403 AMM655403 AWI655403 BGE655403 BQA655403 BZW655403 CJS655403 CTO655403 DDK655403 DNG655403 DXC655403 EGY655403 EQU655403 FAQ655403 FKM655403 FUI655403 GEE655403 GOA655403 GXW655403 HHS655403 HRO655403 IBK655403 ILG655403 IVC655403 JEY655403 JOU655403 JYQ655403 KIM655403 KSI655403 LCE655403 LMA655403 LVW655403 MFS655403 MPO655403 MZK655403 NJG655403 NTC655403 OCY655403 OMU655403 OWQ655403 PGM655403 PQI655403 QAE655403 QKA655403 QTW655403 RDS655403 RNO655403 RXK655403 SHG655403 SRC655403 TAY655403 TKU655403 TUQ655403 UEM655403 UOI655403 UYE655403 VIA655403 VRW655403 WBS655403 WLO655403 WVK655403 C720939 IY720939 SU720939 ACQ720939 AMM720939 AWI720939 BGE720939 BQA720939 BZW720939 CJS720939 CTO720939 DDK720939 DNG720939 DXC720939 EGY720939 EQU720939 FAQ720939 FKM720939 FUI720939 GEE720939 GOA720939 GXW720939 HHS720939 HRO720939 IBK720939 ILG720939 IVC720939 JEY720939 JOU720939 JYQ720939 KIM720939 KSI720939 LCE720939 LMA720939 LVW720939 MFS720939 MPO720939 MZK720939 NJG720939 NTC720939 OCY720939 OMU720939 OWQ720939 PGM720939 PQI720939 QAE720939 QKA720939 QTW720939 RDS720939 RNO720939 RXK720939 SHG720939 SRC720939 TAY720939 TKU720939 TUQ720939 UEM720939 UOI720939 UYE720939 VIA720939 VRW720939 WBS720939 WLO720939 WVK720939 C786475 IY786475 SU786475 ACQ786475 AMM786475 AWI786475 BGE786475 BQA786475 BZW786475 CJS786475 CTO786475 DDK786475 DNG786475 DXC786475 EGY786475 EQU786475 FAQ786475 FKM786475 FUI786475 GEE786475 GOA786475 GXW786475 HHS786475 HRO786475 IBK786475 ILG786475 IVC786475 JEY786475 JOU786475 JYQ786475 KIM786475 KSI786475 LCE786475 LMA786475 LVW786475 MFS786475 MPO786475 MZK786475 NJG786475 NTC786475 OCY786475 OMU786475 OWQ786475 PGM786475 PQI786475 QAE786475 QKA786475 QTW786475 RDS786475 RNO786475 RXK786475 SHG786475 SRC786475 TAY786475 TKU786475 TUQ786475 UEM786475 UOI786475 UYE786475 VIA786475 VRW786475 WBS786475 WLO786475 WVK786475 C852011 IY852011 SU852011 ACQ852011 AMM852011 AWI852011 BGE852011 BQA852011 BZW852011 CJS852011 CTO852011 DDK852011 DNG852011 DXC852011 EGY852011 EQU852011 FAQ852011 FKM852011 FUI852011 GEE852011 GOA852011 GXW852011 HHS852011 HRO852011 IBK852011 ILG852011 IVC852011 JEY852011 JOU852011 JYQ852011 KIM852011 KSI852011 LCE852011 LMA852011 LVW852011 MFS852011 MPO852011 MZK852011 NJG852011 NTC852011 OCY852011 OMU852011 OWQ852011 PGM852011 PQI852011 QAE852011 QKA852011 QTW852011 RDS852011 RNO852011 RXK852011 SHG852011 SRC852011 TAY852011 TKU852011 TUQ852011 UEM852011 UOI852011 UYE852011 VIA852011 VRW852011 WBS852011 WLO852011 WVK852011 C917547 IY917547 SU917547 ACQ917547 AMM917547 AWI917547 BGE917547 BQA917547 BZW917547 CJS917547 CTO917547 DDK917547 DNG917547 DXC917547 EGY917547 EQU917547 FAQ917547 FKM917547 FUI917547 GEE917547 GOA917547 GXW917547 HHS917547 HRO917547 IBK917547 ILG917547 IVC917547 JEY917547 JOU917547 JYQ917547 KIM917547 KSI917547 LCE917547 LMA917547 LVW917547 MFS917547 MPO917547 MZK917547 NJG917547 NTC917547 OCY917547 OMU917547 OWQ917547 PGM917547 PQI917547 QAE917547 QKA917547 QTW917547 RDS917547 RNO917547 RXK917547 SHG917547 SRC917547 TAY917547 TKU917547 TUQ917547 UEM917547 UOI917547 UYE917547 VIA917547 VRW917547 WBS917547 WLO917547 WVK917547 C983083 IY983083 SU983083 ACQ983083 AMM983083 AWI983083 BGE983083 BQA983083 BZW983083 CJS983083 CTO983083 DDK983083 DNG983083 DXC983083 EGY983083 EQU983083 FAQ983083 FKM983083 FUI983083 GEE983083 GOA983083 GXW983083 HHS983083 HRO983083 IBK983083 ILG983083 IVC983083 JEY983083 JOU983083 JYQ983083 KIM983083 KSI983083 LCE983083 LMA983083 LVW983083 MFS983083 MPO983083 MZK983083 NJG983083 NTC983083 OCY983083 OMU983083 OWQ983083 PGM983083 PQI983083 QAE983083 QKA983083 QTW983083 RDS983083 RNO983083 RXK983083 SHG983083 SRC983083 TAY983083 TKU983083 TUQ983083 UEM983083 UOI983083 UYE983083 VIA983083 VRW983083 WBS983083 WLO983083 WVK983083">
      <formula1>0</formula1>
    </dataValidation>
    <dataValidation type="list" allowBlank="1" showInputMessage="1" showErrorMessage="1" sqref="WVM983057 JA30:JA32 SW30:SW32 ACS30:ACS32 AMO30:AMO32 AWK30:AWK32 BGG30:BGG32 BQC30:BQC32 BZY30:BZY32 CJU30:CJU32 CTQ30:CTQ32 DDM30:DDM32 DNI30:DNI32 DXE30:DXE32 EHA30:EHA32 EQW30:EQW32 FAS30:FAS32 FKO30:FKO32 FUK30:FUK32 GEG30:GEG32 GOC30:GOC32 GXY30:GXY32 HHU30:HHU32 HRQ30:HRQ32 IBM30:IBM32 ILI30:ILI32 IVE30:IVE32 JFA30:JFA32 JOW30:JOW32 JYS30:JYS32 KIO30:KIO32 KSK30:KSK32 LCG30:LCG32 LMC30:LMC32 LVY30:LVY32 MFU30:MFU32 MPQ30:MPQ32 MZM30:MZM32 NJI30:NJI32 NTE30:NTE32 ODA30:ODA32 OMW30:OMW32 OWS30:OWS32 PGO30:PGO32 PQK30:PQK32 QAG30:QAG32 QKC30:QKC32 QTY30:QTY32 RDU30:RDU32 RNQ30:RNQ32 RXM30:RXM32 SHI30:SHI32 SRE30:SRE32 TBA30:TBA32 TKW30:TKW32 TUS30:TUS32 UEO30:UEO32 UOK30:UOK32 UYG30:UYG32 VIC30:VIC32 VRY30:VRY32 WBU30:WBU32 WLQ30:WLQ32 WVM30:WVM32 E65553 JA65553 SW65553 ACS65553 AMO65553 AWK65553 BGG65553 BQC65553 BZY65553 CJU65553 CTQ65553 DDM65553 DNI65553 DXE65553 EHA65553 EQW65553 FAS65553 FKO65553 FUK65553 GEG65553 GOC65553 GXY65553 HHU65553 HRQ65553 IBM65553 ILI65553 IVE65553 JFA65553 JOW65553 JYS65553 KIO65553 KSK65553 LCG65553 LMC65553 LVY65553 MFU65553 MPQ65553 MZM65553 NJI65553 NTE65553 ODA65553 OMW65553 OWS65553 PGO65553 PQK65553 QAG65553 QKC65553 QTY65553 RDU65553 RNQ65553 RXM65553 SHI65553 SRE65553 TBA65553 TKW65553 TUS65553 UEO65553 UOK65553 UYG65553 VIC65553 VRY65553 WBU65553 WLQ65553 WVM65553 E131089 JA131089 SW131089 ACS131089 AMO131089 AWK131089 BGG131089 BQC131089 BZY131089 CJU131089 CTQ131089 DDM131089 DNI131089 DXE131089 EHA131089 EQW131089 FAS131089 FKO131089 FUK131089 GEG131089 GOC131089 GXY131089 HHU131089 HRQ131089 IBM131089 ILI131089 IVE131089 JFA131089 JOW131089 JYS131089 KIO131089 KSK131089 LCG131089 LMC131089 LVY131089 MFU131089 MPQ131089 MZM131089 NJI131089 NTE131089 ODA131089 OMW131089 OWS131089 PGO131089 PQK131089 QAG131089 QKC131089 QTY131089 RDU131089 RNQ131089 RXM131089 SHI131089 SRE131089 TBA131089 TKW131089 TUS131089 UEO131089 UOK131089 UYG131089 VIC131089 VRY131089 WBU131089 WLQ131089 WVM131089 E196625 JA196625 SW196625 ACS196625 AMO196625 AWK196625 BGG196625 BQC196625 BZY196625 CJU196625 CTQ196625 DDM196625 DNI196625 DXE196625 EHA196625 EQW196625 FAS196625 FKO196625 FUK196625 GEG196625 GOC196625 GXY196625 HHU196625 HRQ196625 IBM196625 ILI196625 IVE196625 JFA196625 JOW196625 JYS196625 KIO196625 KSK196625 LCG196625 LMC196625 LVY196625 MFU196625 MPQ196625 MZM196625 NJI196625 NTE196625 ODA196625 OMW196625 OWS196625 PGO196625 PQK196625 QAG196625 QKC196625 QTY196625 RDU196625 RNQ196625 RXM196625 SHI196625 SRE196625 TBA196625 TKW196625 TUS196625 UEO196625 UOK196625 UYG196625 VIC196625 VRY196625 WBU196625 WLQ196625 WVM196625 E262161 JA262161 SW262161 ACS262161 AMO262161 AWK262161 BGG262161 BQC262161 BZY262161 CJU262161 CTQ262161 DDM262161 DNI262161 DXE262161 EHA262161 EQW262161 FAS262161 FKO262161 FUK262161 GEG262161 GOC262161 GXY262161 HHU262161 HRQ262161 IBM262161 ILI262161 IVE262161 JFA262161 JOW262161 JYS262161 KIO262161 KSK262161 LCG262161 LMC262161 LVY262161 MFU262161 MPQ262161 MZM262161 NJI262161 NTE262161 ODA262161 OMW262161 OWS262161 PGO262161 PQK262161 QAG262161 QKC262161 QTY262161 RDU262161 RNQ262161 RXM262161 SHI262161 SRE262161 TBA262161 TKW262161 TUS262161 UEO262161 UOK262161 UYG262161 VIC262161 VRY262161 WBU262161 WLQ262161 WVM262161 E327697 JA327697 SW327697 ACS327697 AMO327697 AWK327697 BGG327697 BQC327697 BZY327697 CJU327697 CTQ327697 DDM327697 DNI327697 DXE327697 EHA327697 EQW327697 FAS327697 FKO327697 FUK327697 GEG327697 GOC327697 GXY327697 HHU327697 HRQ327697 IBM327697 ILI327697 IVE327697 JFA327697 JOW327697 JYS327697 KIO327697 KSK327697 LCG327697 LMC327697 LVY327697 MFU327697 MPQ327697 MZM327697 NJI327697 NTE327697 ODA327697 OMW327697 OWS327697 PGO327697 PQK327697 QAG327697 QKC327697 QTY327697 RDU327697 RNQ327697 RXM327697 SHI327697 SRE327697 TBA327697 TKW327697 TUS327697 UEO327697 UOK327697 UYG327697 VIC327697 VRY327697 WBU327697 WLQ327697 WVM327697 E393233 JA393233 SW393233 ACS393233 AMO393233 AWK393233 BGG393233 BQC393233 BZY393233 CJU393233 CTQ393233 DDM393233 DNI393233 DXE393233 EHA393233 EQW393233 FAS393233 FKO393233 FUK393233 GEG393233 GOC393233 GXY393233 HHU393233 HRQ393233 IBM393233 ILI393233 IVE393233 JFA393233 JOW393233 JYS393233 KIO393233 KSK393233 LCG393233 LMC393233 LVY393233 MFU393233 MPQ393233 MZM393233 NJI393233 NTE393233 ODA393233 OMW393233 OWS393233 PGO393233 PQK393233 QAG393233 QKC393233 QTY393233 RDU393233 RNQ393233 RXM393233 SHI393233 SRE393233 TBA393233 TKW393233 TUS393233 UEO393233 UOK393233 UYG393233 VIC393233 VRY393233 WBU393233 WLQ393233 WVM393233 E458769 JA458769 SW458769 ACS458769 AMO458769 AWK458769 BGG458769 BQC458769 BZY458769 CJU458769 CTQ458769 DDM458769 DNI458769 DXE458769 EHA458769 EQW458769 FAS458769 FKO458769 FUK458769 GEG458769 GOC458769 GXY458769 HHU458769 HRQ458769 IBM458769 ILI458769 IVE458769 JFA458769 JOW458769 JYS458769 KIO458769 KSK458769 LCG458769 LMC458769 LVY458769 MFU458769 MPQ458769 MZM458769 NJI458769 NTE458769 ODA458769 OMW458769 OWS458769 PGO458769 PQK458769 QAG458769 QKC458769 QTY458769 RDU458769 RNQ458769 RXM458769 SHI458769 SRE458769 TBA458769 TKW458769 TUS458769 UEO458769 UOK458769 UYG458769 VIC458769 VRY458769 WBU458769 WLQ458769 WVM458769 E524305 JA524305 SW524305 ACS524305 AMO524305 AWK524305 BGG524305 BQC524305 BZY524305 CJU524305 CTQ524305 DDM524305 DNI524305 DXE524305 EHA524305 EQW524305 FAS524305 FKO524305 FUK524305 GEG524305 GOC524305 GXY524305 HHU524305 HRQ524305 IBM524305 ILI524305 IVE524305 JFA524305 JOW524305 JYS524305 KIO524305 KSK524305 LCG524305 LMC524305 LVY524305 MFU524305 MPQ524305 MZM524305 NJI524305 NTE524305 ODA524305 OMW524305 OWS524305 PGO524305 PQK524305 QAG524305 QKC524305 QTY524305 RDU524305 RNQ524305 RXM524305 SHI524305 SRE524305 TBA524305 TKW524305 TUS524305 UEO524305 UOK524305 UYG524305 VIC524305 VRY524305 WBU524305 WLQ524305 WVM524305 E589841 JA589841 SW589841 ACS589841 AMO589841 AWK589841 BGG589841 BQC589841 BZY589841 CJU589841 CTQ589841 DDM589841 DNI589841 DXE589841 EHA589841 EQW589841 FAS589841 FKO589841 FUK589841 GEG589841 GOC589841 GXY589841 HHU589841 HRQ589841 IBM589841 ILI589841 IVE589841 JFA589841 JOW589841 JYS589841 KIO589841 KSK589841 LCG589841 LMC589841 LVY589841 MFU589841 MPQ589841 MZM589841 NJI589841 NTE589841 ODA589841 OMW589841 OWS589841 PGO589841 PQK589841 QAG589841 QKC589841 QTY589841 RDU589841 RNQ589841 RXM589841 SHI589841 SRE589841 TBA589841 TKW589841 TUS589841 UEO589841 UOK589841 UYG589841 VIC589841 VRY589841 WBU589841 WLQ589841 WVM589841 E655377 JA655377 SW655377 ACS655377 AMO655377 AWK655377 BGG655377 BQC655377 BZY655377 CJU655377 CTQ655377 DDM655377 DNI655377 DXE655377 EHA655377 EQW655377 FAS655377 FKO655377 FUK655377 GEG655377 GOC655377 GXY655377 HHU655377 HRQ655377 IBM655377 ILI655377 IVE655377 JFA655377 JOW655377 JYS655377 KIO655377 KSK655377 LCG655377 LMC655377 LVY655377 MFU655377 MPQ655377 MZM655377 NJI655377 NTE655377 ODA655377 OMW655377 OWS655377 PGO655377 PQK655377 QAG655377 QKC655377 QTY655377 RDU655377 RNQ655377 RXM655377 SHI655377 SRE655377 TBA655377 TKW655377 TUS655377 UEO655377 UOK655377 UYG655377 VIC655377 VRY655377 WBU655377 WLQ655377 WVM655377 E720913 JA720913 SW720913 ACS720913 AMO720913 AWK720913 BGG720913 BQC720913 BZY720913 CJU720913 CTQ720913 DDM720913 DNI720913 DXE720913 EHA720913 EQW720913 FAS720913 FKO720913 FUK720913 GEG720913 GOC720913 GXY720913 HHU720913 HRQ720913 IBM720913 ILI720913 IVE720913 JFA720913 JOW720913 JYS720913 KIO720913 KSK720913 LCG720913 LMC720913 LVY720913 MFU720913 MPQ720913 MZM720913 NJI720913 NTE720913 ODA720913 OMW720913 OWS720913 PGO720913 PQK720913 QAG720913 QKC720913 QTY720913 RDU720913 RNQ720913 RXM720913 SHI720913 SRE720913 TBA720913 TKW720913 TUS720913 UEO720913 UOK720913 UYG720913 VIC720913 VRY720913 WBU720913 WLQ720913 WVM720913 E786449 JA786449 SW786449 ACS786449 AMO786449 AWK786449 BGG786449 BQC786449 BZY786449 CJU786449 CTQ786449 DDM786449 DNI786449 DXE786449 EHA786449 EQW786449 FAS786449 FKO786449 FUK786449 GEG786449 GOC786449 GXY786449 HHU786449 HRQ786449 IBM786449 ILI786449 IVE786449 JFA786449 JOW786449 JYS786449 KIO786449 KSK786449 LCG786449 LMC786449 LVY786449 MFU786449 MPQ786449 MZM786449 NJI786449 NTE786449 ODA786449 OMW786449 OWS786449 PGO786449 PQK786449 QAG786449 QKC786449 QTY786449 RDU786449 RNQ786449 RXM786449 SHI786449 SRE786449 TBA786449 TKW786449 TUS786449 UEO786449 UOK786449 UYG786449 VIC786449 VRY786449 WBU786449 WLQ786449 WVM786449 E851985 JA851985 SW851985 ACS851985 AMO851985 AWK851985 BGG851985 BQC851985 BZY851985 CJU851985 CTQ851985 DDM851985 DNI851985 DXE851985 EHA851985 EQW851985 FAS851985 FKO851985 FUK851985 GEG851985 GOC851985 GXY851985 HHU851985 HRQ851985 IBM851985 ILI851985 IVE851985 JFA851985 JOW851985 JYS851985 KIO851985 KSK851985 LCG851985 LMC851985 LVY851985 MFU851985 MPQ851985 MZM851985 NJI851985 NTE851985 ODA851985 OMW851985 OWS851985 PGO851985 PQK851985 QAG851985 QKC851985 QTY851985 RDU851985 RNQ851985 RXM851985 SHI851985 SRE851985 TBA851985 TKW851985 TUS851985 UEO851985 UOK851985 UYG851985 VIC851985 VRY851985 WBU851985 WLQ851985 WVM851985 E917521 JA917521 SW917521 ACS917521 AMO917521 AWK917521 BGG917521 BQC917521 BZY917521 CJU917521 CTQ917521 DDM917521 DNI917521 DXE917521 EHA917521 EQW917521 FAS917521 FKO917521 FUK917521 GEG917521 GOC917521 GXY917521 HHU917521 HRQ917521 IBM917521 ILI917521 IVE917521 JFA917521 JOW917521 JYS917521 KIO917521 KSK917521 LCG917521 LMC917521 LVY917521 MFU917521 MPQ917521 MZM917521 NJI917521 NTE917521 ODA917521 OMW917521 OWS917521 PGO917521 PQK917521 QAG917521 QKC917521 QTY917521 RDU917521 RNQ917521 RXM917521 SHI917521 SRE917521 TBA917521 TKW917521 TUS917521 UEO917521 UOK917521 UYG917521 VIC917521 VRY917521 WBU917521 WLQ917521 WVM917521 E983057 JA983057 SW983057 ACS983057 AMO983057 AWK983057 BGG983057 BQC983057 BZY983057 CJU983057 CTQ983057 DDM983057 DNI983057 DXE983057 EHA983057 EQW983057 FAS983057 FKO983057 FUK983057 GEG983057 GOC983057 GXY983057 HHU983057 HRQ983057 IBM983057 ILI983057 IVE983057 JFA983057 JOW983057 JYS983057 KIO983057 KSK983057 LCG983057 LMC983057 LVY983057 MFU983057 MPQ983057 MZM983057 NJI983057 NTE983057 ODA983057 OMW983057 OWS983057 PGO983057 PQK983057 QAG983057 QKC983057 QTY983057 RDU983057 RNQ983057 RXM983057 SHI983057 SRE983057 TBA983057 TKW983057 TUS983057 UEO983057 UOK983057 UYG983057 VIC983057 VRY983057 WBU983057 WLQ983057 E30:E31">
      <formula1>$H$17:$H$20</formula1>
    </dataValidation>
  </dataValidations>
  <pageMargins left="0.7" right="0.7" top="0.75" bottom="0.75" header="0.3" footer="0.3"/>
  <ignoredErrors>
    <ignoredError sqref="C5:I7" unlockedFormula="1"/>
  </ignoredErrors>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320"/>
  <sheetViews>
    <sheetView zoomScaleNormal="100" workbookViewId="0">
      <selection activeCell="B4" sqref="B4:E4"/>
    </sheetView>
  </sheetViews>
  <sheetFormatPr baseColWidth="10" defaultColWidth="11.42578125" defaultRowHeight="15" x14ac:dyDescent="0.25"/>
  <cols>
    <col min="1" max="1" width="37.28515625" style="457" customWidth="1"/>
    <col min="2" max="2" width="39.42578125" style="457" customWidth="1"/>
    <col min="3" max="3" width="35.140625" style="457" customWidth="1"/>
    <col min="4" max="4" width="28" style="457" customWidth="1"/>
    <col min="5" max="5" width="26.7109375" style="457" customWidth="1"/>
    <col min="6" max="6" width="29.140625" style="457" customWidth="1"/>
    <col min="7" max="7" width="49.7109375" style="457" customWidth="1"/>
    <col min="8" max="8" width="33.140625" style="459" customWidth="1"/>
    <col min="9" max="9" width="33" style="459" customWidth="1"/>
    <col min="10" max="11" width="29" style="457" customWidth="1"/>
    <col min="12" max="12" width="22.7109375" style="457" customWidth="1"/>
    <col min="13" max="14" width="11.42578125" style="457"/>
    <col min="15" max="15" width="16.42578125" style="457" customWidth="1"/>
    <col min="16" max="256" width="11.42578125" style="457"/>
    <col min="257" max="257" width="37.28515625" style="457" customWidth="1"/>
    <col min="258" max="258" width="39.42578125" style="457" customWidth="1"/>
    <col min="259" max="259" width="35.140625" style="457" customWidth="1"/>
    <col min="260" max="260" width="28" style="457" customWidth="1"/>
    <col min="261" max="261" width="26.7109375" style="457" customWidth="1"/>
    <col min="262" max="262" width="23.7109375" style="457" customWidth="1"/>
    <col min="263" max="263" width="30.7109375" style="457" bestFit="1" customWidth="1"/>
    <col min="264" max="264" width="24.140625" style="457" customWidth="1"/>
    <col min="265" max="265" width="30.42578125" style="457" customWidth="1"/>
    <col min="266" max="267" width="29" style="457" customWidth="1"/>
    <col min="268" max="268" width="22.7109375" style="457" customWidth="1"/>
    <col min="269" max="270" width="11.42578125" style="457"/>
    <col min="271" max="271" width="16.42578125" style="457" customWidth="1"/>
    <col min="272" max="512" width="11.42578125" style="457"/>
    <col min="513" max="513" width="37.28515625" style="457" customWidth="1"/>
    <col min="514" max="514" width="39.42578125" style="457" customWidth="1"/>
    <col min="515" max="515" width="35.140625" style="457" customWidth="1"/>
    <col min="516" max="516" width="28" style="457" customWidth="1"/>
    <col min="517" max="517" width="26.7109375" style="457" customWidth="1"/>
    <col min="518" max="518" width="23.7109375" style="457" customWidth="1"/>
    <col min="519" max="519" width="30.7109375" style="457" bestFit="1" customWidth="1"/>
    <col min="520" max="520" width="24.140625" style="457" customWidth="1"/>
    <col min="521" max="521" width="30.42578125" style="457" customWidth="1"/>
    <col min="522" max="523" width="29" style="457" customWidth="1"/>
    <col min="524" max="524" width="22.7109375" style="457" customWidth="1"/>
    <col min="525" max="526" width="11.42578125" style="457"/>
    <col min="527" max="527" width="16.42578125" style="457" customWidth="1"/>
    <col min="528" max="768" width="11.42578125" style="457"/>
    <col min="769" max="769" width="37.28515625" style="457" customWidth="1"/>
    <col min="770" max="770" width="39.42578125" style="457" customWidth="1"/>
    <col min="771" max="771" width="35.140625" style="457" customWidth="1"/>
    <col min="772" max="772" width="28" style="457" customWidth="1"/>
    <col min="773" max="773" width="26.7109375" style="457" customWidth="1"/>
    <col min="774" max="774" width="23.7109375" style="457" customWidth="1"/>
    <col min="775" max="775" width="30.7109375" style="457" bestFit="1" customWidth="1"/>
    <col min="776" max="776" width="24.140625" style="457" customWidth="1"/>
    <col min="777" max="777" width="30.42578125" style="457" customWidth="1"/>
    <col min="778" max="779" width="29" style="457" customWidth="1"/>
    <col min="780" max="780" width="22.7109375" style="457" customWidth="1"/>
    <col min="781" max="782" width="11.42578125" style="457"/>
    <col min="783" max="783" width="16.42578125" style="457" customWidth="1"/>
    <col min="784" max="1024" width="11.42578125" style="457"/>
    <col min="1025" max="1025" width="37.28515625" style="457" customWidth="1"/>
    <col min="1026" max="1026" width="39.42578125" style="457" customWidth="1"/>
    <col min="1027" max="1027" width="35.140625" style="457" customWidth="1"/>
    <col min="1028" max="1028" width="28" style="457" customWidth="1"/>
    <col min="1029" max="1029" width="26.7109375" style="457" customWidth="1"/>
    <col min="1030" max="1030" width="23.7109375" style="457" customWidth="1"/>
    <col min="1031" max="1031" width="30.7109375" style="457" bestFit="1" customWidth="1"/>
    <col min="1032" max="1032" width="24.140625" style="457" customWidth="1"/>
    <col min="1033" max="1033" width="30.42578125" style="457" customWidth="1"/>
    <col min="1034" max="1035" width="29" style="457" customWidth="1"/>
    <col min="1036" max="1036" width="22.7109375" style="457" customWidth="1"/>
    <col min="1037" max="1038" width="11.42578125" style="457"/>
    <col min="1039" max="1039" width="16.42578125" style="457" customWidth="1"/>
    <col min="1040" max="1280" width="11.42578125" style="457"/>
    <col min="1281" max="1281" width="37.28515625" style="457" customWidth="1"/>
    <col min="1282" max="1282" width="39.42578125" style="457" customWidth="1"/>
    <col min="1283" max="1283" width="35.140625" style="457" customWidth="1"/>
    <col min="1284" max="1284" width="28" style="457" customWidth="1"/>
    <col min="1285" max="1285" width="26.7109375" style="457" customWidth="1"/>
    <col min="1286" max="1286" width="23.7109375" style="457" customWidth="1"/>
    <col min="1287" max="1287" width="30.7109375" style="457" bestFit="1" customWidth="1"/>
    <col min="1288" max="1288" width="24.140625" style="457" customWidth="1"/>
    <col min="1289" max="1289" width="30.42578125" style="457" customWidth="1"/>
    <col min="1290" max="1291" width="29" style="457" customWidth="1"/>
    <col min="1292" max="1292" width="22.7109375" style="457" customWidth="1"/>
    <col min="1293" max="1294" width="11.42578125" style="457"/>
    <col min="1295" max="1295" width="16.42578125" style="457" customWidth="1"/>
    <col min="1296" max="1536" width="11.42578125" style="457"/>
    <col min="1537" max="1537" width="37.28515625" style="457" customWidth="1"/>
    <col min="1538" max="1538" width="39.42578125" style="457" customWidth="1"/>
    <col min="1539" max="1539" width="35.140625" style="457" customWidth="1"/>
    <col min="1540" max="1540" width="28" style="457" customWidth="1"/>
    <col min="1541" max="1541" width="26.7109375" style="457" customWidth="1"/>
    <col min="1542" max="1542" width="23.7109375" style="457" customWidth="1"/>
    <col min="1543" max="1543" width="30.7109375" style="457" bestFit="1" customWidth="1"/>
    <col min="1544" max="1544" width="24.140625" style="457" customWidth="1"/>
    <col min="1545" max="1545" width="30.42578125" style="457" customWidth="1"/>
    <col min="1546" max="1547" width="29" style="457" customWidth="1"/>
    <col min="1548" max="1548" width="22.7109375" style="457" customWidth="1"/>
    <col min="1549" max="1550" width="11.42578125" style="457"/>
    <col min="1551" max="1551" width="16.42578125" style="457" customWidth="1"/>
    <col min="1552" max="1792" width="11.42578125" style="457"/>
    <col min="1793" max="1793" width="37.28515625" style="457" customWidth="1"/>
    <col min="1794" max="1794" width="39.42578125" style="457" customWidth="1"/>
    <col min="1795" max="1795" width="35.140625" style="457" customWidth="1"/>
    <col min="1796" max="1796" width="28" style="457" customWidth="1"/>
    <col min="1797" max="1797" width="26.7109375" style="457" customWidth="1"/>
    <col min="1798" max="1798" width="23.7109375" style="457" customWidth="1"/>
    <col min="1799" max="1799" width="30.7109375" style="457" bestFit="1" customWidth="1"/>
    <col min="1800" max="1800" width="24.140625" style="457" customWidth="1"/>
    <col min="1801" max="1801" width="30.42578125" style="457" customWidth="1"/>
    <col min="1802" max="1803" width="29" style="457" customWidth="1"/>
    <col min="1804" max="1804" width="22.7109375" style="457" customWidth="1"/>
    <col min="1805" max="1806" width="11.42578125" style="457"/>
    <col min="1807" max="1807" width="16.42578125" style="457" customWidth="1"/>
    <col min="1808" max="2048" width="11.42578125" style="457"/>
    <col min="2049" max="2049" width="37.28515625" style="457" customWidth="1"/>
    <col min="2050" max="2050" width="39.42578125" style="457" customWidth="1"/>
    <col min="2051" max="2051" width="35.140625" style="457" customWidth="1"/>
    <col min="2052" max="2052" width="28" style="457" customWidth="1"/>
    <col min="2053" max="2053" width="26.7109375" style="457" customWidth="1"/>
    <col min="2054" max="2054" width="23.7109375" style="457" customWidth="1"/>
    <col min="2055" max="2055" width="30.7109375" style="457" bestFit="1" customWidth="1"/>
    <col min="2056" max="2056" width="24.140625" style="457" customWidth="1"/>
    <col min="2057" max="2057" width="30.42578125" style="457" customWidth="1"/>
    <col min="2058" max="2059" width="29" style="457" customWidth="1"/>
    <col min="2060" max="2060" width="22.7109375" style="457" customWidth="1"/>
    <col min="2061" max="2062" width="11.42578125" style="457"/>
    <col min="2063" max="2063" width="16.42578125" style="457" customWidth="1"/>
    <col min="2064" max="2304" width="11.42578125" style="457"/>
    <col min="2305" max="2305" width="37.28515625" style="457" customWidth="1"/>
    <col min="2306" max="2306" width="39.42578125" style="457" customWidth="1"/>
    <col min="2307" max="2307" width="35.140625" style="457" customWidth="1"/>
    <col min="2308" max="2308" width="28" style="457" customWidth="1"/>
    <col min="2309" max="2309" width="26.7109375" style="457" customWidth="1"/>
    <col min="2310" max="2310" width="23.7109375" style="457" customWidth="1"/>
    <col min="2311" max="2311" width="30.7109375" style="457" bestFit="1" customWidth="1"/>
    <col min="2312" max="2312" width="24.140625" style="457" customWidth="1"/>
    <col min="2313" max="2313" width="30.42578125" style="457" customWidth="1"/>
    <col min="2314" max="2315" width="29" style="457" customWidth="1"/>
    <col min="2316" max="2316" width="22.7109375" style="457" customWidth="1"/>
    <col min="2317" max="2318" width="11.42578125" style="457"/>
    <col min="2319" max="2319" width="16.42578125" style="457" customWidth="1"/>
    <col min="2320" max="2560" width="11.42578125" style="457"/>
    <col min="2561" max="2561" width="37.28515625" style="457" customWidth="1"/>
    <col min="2562" max="2562" width="39.42578125" style="457" customWidth="1"/>
    <col min="2563" max="2563" width="35.140625" style="457" customWidth="1"/>
    <col min="2564" max="2564" width="28" style="457" customWidth="1"/>
    <col min="2565" max="2565" width="26.7109375" style="457" customWidth="1"/>
    <col min="2566" max="2566" width="23.7109375" style="457" customWidth="1"/>
    <col min="2567" max="2567" width="30.7109375" style="457" bestFit="1" customWidth="1"/>
    <col min="2568" max="2568" width="24.140625" style="457" customWidth="1"/>
    <col min="2569" max="2569" width="30.42578125" style="457" customWidth="1"/>
    <col min="2570" max="2571" width="29" style="457" customWidth="1"/>
    <col min="2572" max="2572" width="22.7109375" style="457" customWidth="1"/>
    <col min="2573" max="2574" width="11.42578125" style="457"/>
    <col min="2575" max="2575" width="16.42578125" style="457" customWidth="1"/>
    <col min="2576" max="2816" width="11.42578125" style="457"/>
    <col min="2817" max="2817" width="37.28515625" style="457" customWidth="1"/>
    <col min="2818" max="2818" width="39.42578125" style="457" customWidth="1"/>
    <col min="2819" max="2819" width="35.140625" style="457" customWidth="1"/>
    <col min="2820" max="2820" width="28" style="457" customWidth="1"/>
    <col min="2821" max="2821" width="26.7109375" style="457" customWidth="1"/>
    <col min="2822" max="2822" width="23.7109375" style="457" customWidth="1"/>
    <col min="2823" max="2823" width="30.7109375" style="457" bestFit="1" customWidth="1"/>
    <col min="2824" max="2824" width="24.140625" style="457" customWidth="1"/>
    <col min="2825" max="2825" width="30.42578125" style="457" customWidth="1"/>
    <col min="2826" max="2827" width="29" style="457" customWidth="1"/>
    <col min="2828" max="2828" width="22.7109375" style="457" customWidth="1"/>
    <col min="2829" max="2830" width="11.42578125" style="457"/>
    <col min="2831" max="2831" width="16.42578125" style="457" customWidth="1"/>
    <col min="2832" max="3072" width="11.42578125" style="457"/>
    <col min="3073" max="3073" width="37.28515625" style="457" customWidth="1"/>
    <col min="3074" max="3074" width="39.42578125" style="457" customWidth="1"/>
    <col min="3075" max="3075" width="35.140625" style="457" customWidth="1"/>
    <col min="3076" max="3076" width="28" style="457" customWidth="1"/>
    <col min="3077" max="3077" width="26.7109375" style="457" customWidth="1"/>
    <col min="3078" max="3078" width="23.7109375" style="457" customWidth="1"/>
    <col min="3079" max="3079" width="30.7109375" style="457" bestFit="1" customWidth="1"/>
    <col min="3080" max="3080" width="24.140625" style="457" customWidth="1"/>
    <col min="3081" max="3081" width="30.42578125" style="457" customWidth="1"/>
    <col min="3082" max="3083" width="29" style="457" customWidth="1"/>
    <col min="3084" max="3084" width="22.7109375" style="457" customWidth="1"/>
    <col min="3085" max="3086" width="11.42578125" style="457"/>
    <col min="3087" max="3087" width="16.42578125" style="457" customWidth="1"/>
    <col min="3088" max="3328" width="11.42578125" style="457"/>
    <col min="3329" max="3329" width="37.28515625" style="457" customWidth="1"/>
    <col min="3330" max="3330" width="39.42578125" style="457" customWidth="1"/>
    <col min="3331" max="3331" width="35.140625" style="457" customWidth="1"/>
    <col min="3332" max="3332" width="28" style="457" customWidth="1"/>
    <col min="3333" max="3333" width="26.7109375" style="457" customWidth="1"/>
    <col min="3334" max="3334" width="23.7109375" style="457" customWidth="1"/>
    <col min="3335" max="3335" width="30.7109375" style="457" bestFit="1" customWidth="1"/>
    <col min="3336" max="3336" width="24.140625" style="457" customWidth="1"/>
    <col min="3337" max="3337" width="30.42578125" style="457" customWidth="1"/>
    <col min="3338" max="3339" width="29" style="457" customWidth="1"/>
    <col min="3340" max="3340" width="22.7109375" style="457" customWidth="1"/>
    <col min="3341" max="3342" width="11.42578125" style="457"/>
    <col min="3343" max="3343" width="16.42578125" style="457" customWidth="1"/>
    <col min="3344" max="3584" width="11.42578125" style="457"/>
    <col min="3585" max="3585" width="37.28515625" style="457" customWidth="1"/>
    <col min="3586" max="3586" width="39.42578125" style="457" customWidth="1"/>
    <col min="3587" max="3587" width="35.140625" style="457" customWidth="1"/>
    <col min="3588" max="3588" width="28" style="457" customWidth="1"/>
    <col min="3589" max="3589" width="26.7109375" style="457" customWidth="1"/>
    <col min="3590" max="3590" width="23.7109375" style="457" customWidth="1"/>
    <col min="3591" max="3591" width="30.7109375" style="457" bestFit="1" customWidth="1"/>
    <col min="3592" max="3592" width="24.140625" style="457" customWidth="1"/>
    <col min="3593" max="3593" width="30.42578125" style="457" customWidth="1"/>
    <col min="3594" max="3595" width="29" style="457" customWidth="1"/>
    <col min="3596" max="3596" width="22.7109375" style="457" customWidth="1"/>
    <col min="3597" max="3598" width="11.42578125" style="457"/>
    <col min="3599" max="3599" width="16.42578125" style="457" customWidth="1"/>
    <col min="3600" max="3840" width="11.42578125" style="457"/>
    <col min="3841" max="3841" width="37.28515625" style="457" customWidth="1"/>
    <col min="3842" max="3842" width="39.42578125" style="457" customWidth="1"/>
    <col min="3843" max="3843" width="35.140625" style="457" customWidth="1"/>
    <col min="3844" max="3844" width="28" style="457" customWidth="1"/>
    <col min="3845" max="3845" width="26.7109375" style="457" customWidth="1"/>
    <col min="3846" max="3846" width="23.7109375" style="457" customWidth="1"/>
    <col min="3847" max="3847" width="30.7109375" style="457" bestFit="1" customWidth="1"/>
    <col min="3848" max="3848" width="24.140625" style="457" customWidth="1"/>
    <col min="3849" max="3849" width="30.42578125" style="457" customWidth="1"/>
    <col min="3850" max="3851" width="29" style="457" customWidth="1"/>
    <col min="3852" max="3852" width="22.7109375" style="457" customWidth="1"/>
    <col min="3853" max="3854" width="11.42578125" style="457"/>
    <col min="3855" max="3855" width="16.42578125" style="457" customWidth="1"/>
    <col min="3856" max="4096" width="11.42578125" style="457"/>
    <col min="4097" max="4097" width="37.28515625" style="457" customWidth="1"/>
    <col min="4098" max="4098" width="39.42578125" style="457" customWidth="1"/>
    <col min="4099" max="4099" width="35.140625" style="457" customWidth="1"/>
    <col min="4100" max="4100" width="28" style="457" customWidth="1"/>
    <col min="4101" max="4101" width="26.7109375" style="457" customWidth="1"/>
    <col min="4102" max="4102" width="23.7109375" style="457" customWidth="1"/>
    <col min="4103" max="4103" width="30.7109375" style="457" bestFit="1" customWidth="1"/>
    <col min="4104" max="4104" width="24.140625" style="457" customWidth="1"/>
    <col min="4105" max="4105" width="30.42578125" style="457" customWidth="1"/>
    <col min="4106" max="4107" width="29" style="457" customWidth="1"/>
    <col min="4108" max="4108" width="22.7109375" style="457" customWidth="1"/>
    <col min="4109" max="4110" width="11.42578125" style="457"/>
    <col min="4111" max="4111" width="16.42578125" style="457" customWidth="1"/>
    <col min="4112" max="4352" width="11.42578125" style="457"/>
    <col min="4353" max="4353" width="37.28515625" style="457" customWidth="1"/>
    <col min="4354" max="4354" width="39.42578125" style="457" customWidth="1"/>
    <col min="4355" max="4355" width="35.140625" style="457" customWidth="1"/>
    <col min="4356" max="4356" width="28" style="457" customWidth="1"/>
    <col min="4357" max="4357" width="26.7109375" style="457" customWidth="1"/>
    <col min="4358" max="4358" width="23.7109375" style="457" customWidth="1"/>
    <col min="4359" max="4359" width="30.7109375" style="457" bestFit="1" customWidth="1"/>
    <col min="4360" max="4360" width="24.140625" style="457" customWidth="1"/>
    <col min="4361" max="4361" width="30.42578125" style="457" customWidth="1"/>
    <col min="4362" max="4363" width="29" style="457" customWidth="1"/>
    <col min="4364" max="4364" width="22.7109375" style="457" customWidth="1"/>
    <col min="4365" max="4366" width="11.42578125" style="457"/>
    <col min="4367" max="4367" width="16.42578125" style="457" customWidth="1"/>
    <col min="4368" max="4608" width="11.42578125" style="457"/>
    <col min="4609" max="4609" width="37.28515625" style="457" customWidth="1"/>
    <col min="4610" max="4610" width="39.42578125" style="457" customWidth="1"/>
    <col min="4611" max="4611" width="35.140625" style="457" customWidth="1"/>
    <col min="4612" max="4612" width="28" style="457" customWidth="1"/>
    <col min="4613" max="4613" width="26.7109375" style="457" customWidth="1"/>
    <col min="4614" max="4614" width="23.7109375" style="457" customWidth="1"/>
    <col min="4615" max="4615" width="30.7109375" style="457" bestFit="1" customWidth="1"/>
    <col min="4616" max="4616" width="24.140625" style="457" customWidth="1"/>
    <col min="4617" max="4617" width="30.42578125" style="457" customWidth="1"/>
    <col min="4618" max="4619" width="29" style="457" customWidth="1"/>
    <col min="4620" max="4620" width="22.7109375" style="457" customWidth="1"/>
    <col min="4621" max="4622" width="11.42578125" style="457"/>
    <col min="4623" max="4623" width="16.42578125" style="457" customWidth="1"/>
    <col min="4624" max="4864" width="11.42578125" style="457"/>
    <col min="4865" max="4865" width="37.28515625" style="457" customWidth="1"/>
    <col min="4866" max="4866" width="39.42578125" style="457" customWidth="1"/>
    <col min="4867" max="4867" width="35.140625" style="457" customWidth="1"/>
    <col min="4868" max="4868" width="28" style="457" customWidth="1"/>
    <col min="4869" max="4869" width="26.7109375" style="457" customWidth="1"/>
    <col min="4870" max="4870" width="23.7109375" style="457" customWidth="1"/>
    <col min="4871" max="4871" width="30.7109375" style="457" bestFit="1" customWidth="1"/>
    <col min="4872" max="4872" width="24.140625" style="457" customWidth="1"/>
    <col min="4873" max="4873" width="30.42578125" style="457" customWidth="1"/>
    <col min="4874" max="4875" width="29" style="457" customWidth="1"/>
    <col min="4876" max="4876" width="22.7109375" style="457" customWidth="1"/>
    <col min="4877" max="4878" width="11.42578125" style="457"/>
    <col min="4879" max="4879" width="16.42578125" style="457" customWidth="1"/>
    <col min="4880" max="5120" width="11.42578125" style="457"/>
    <col min="5121" max="5121" width="37.28515625" style="457" customWidth="1"/>
    <col min="5122" max="5122" width="39.42578125" style="457" customWidth="1"/>
    <col min="5123" max="5123" width="35.140625" style="457" customWidth="1"/>
    <col min="5124" max="5124" width="28" style="457" customWidth="1"/>
    <col min="5125" max="5125" width="26.7109375" style="457" customWidth="1"/>
    <col min="5126" max="5126" width="23.7109375" style="457" customWidth="1"/>
    <col min="5127" max="5127" width="30.7109375" style="457" bestFit="1" customWidth="1"/>
    <col min="5128" max="5128" width="24.140625" style="457" customWidth="1"/>
    <col min="5129" max="5129" width="30.42578125" style="457" customWidth="1"/>
    <col min="5130" max="5131" width="29" style="457" customWidth="1"/>
    <col min="5132" max="5132" width="22.7109375" style="457" customWidth="1"/>
    <col min="5133" max="5134" width="11.42578125" style="457"/>
    <col min="5135" max="5135" width="16.42578125" style="457" customWidth="1"/>
    <col min="5136" max="5376" width="11.42578125" style="457"/>
    <col min="5377" max="5377" width="37.28515625" style="457" customWidth="1"/>
    <col min="5378" max="5378" width="39.42578125" style="457" customWidth="1"/>
    <col min="5379" max="5379" width="35.140625" style="457" customWidth="1"/>
    <col min="5380" max="5380" width="28" style="457" customWidth="1"/>
    <col min="5381" max="5381" width="26.7109375" style="457" customWidth="1"/>
    <col min="5382" max="5382" width="23.7109375" style="457" customWidth="1"/>
    <col min="5383" max="5383" width="30.7109375" style="457" bestFit="1" customWidth="1"/>
    <col min="5384" max="5384" width="24.140625" style="457" customWidth="1"/>
    <col min="5385" max="5385" width="30.42578125" style="457" customWidth="1"/>
    <col min="5386" max="5387" width="29" style="457" customWidth="1"/>
    <col min="5388" max="5388" width="22.7109375" style="457" customWidth="1"/>
    <col min="5389" max="5390" width="11.42578125" style="457"/>
    <col min="5391" max="5391" width="16.42578125" style="457" customWidth="1"/>
    <col min="5392" max="5632" width="11.42578125" style="457"/>
    <col min="5633" max="5633" width="37.28515625" style="457" customWidth="1"/>
    <col min="5634" max="5634" width="39.42578125" style="457" customWidth="1"/>
    <col min="5635" max="5635" width="35.140625" style="457" customWidth="1"/>
    <col min="5636" max="5636" width="28" style="457" customWidth="1"/>
    <col min="5637" max="5637" width="26.7109375" style="457" customWidth="1"/>
    <col min="5638" max="5638" width="23.7109375" style="457" customWidth="1"/>
    <col min="5639" max="5639" width="30.7109375" style="457" bestFit="1" customWidth="1"/>
    <col min="5640" max="5640" width="24.140625" style="457" customWidth="1"/>
    <col min="5641" max="5641" width="30.42578125" style="457" customWidth="1"/>
    <col min="5642" max="5643" width="29" style="457" customWidth="1"/>
    <col min="5644" max="5644" width="22.7109375" style="457" customWidth="1"/>
    <col min="5645" max="5646" width="11.42578125" style="457"/>
    <col min="5647" max="5647" width="16.42578125" style="457" customWidth="1"/>
    <col min="5648" max="5888" width="11.42578125" style="457"/>
    <col min="5889" max="5889" width="37.28515625" style="457" customWidth="1"/>
    <col min="5890" max="5890" width="39.42578125" style="457" customWidth="1"/>
    <col min="5891" max="5891" width="35.140625" style="457" customWidth="1"/>
    <col min="5892" max="5892" width="28" style="457" customWidth="1"/>
    <col min="5893" max="5893" width="26.7109375" style="457" customWidth="1"/>
    <col min="5894" max="5894" width="23.7109375" style="457" customWidth="1"/>
    <col min="5895" max="5895" width="30.7109375" style="457" bestFit="1" customWidth="1"/>
    <col min="5896" max="5896" width="24.140625" style="457" customWidth="1"/>
    <col min="5897" max="5897" width="30.42578125" style="457" customWidth="1"/>
    <col min="5898" max="5899" width="29" style="457" customWidth="1"/>
    <col min="5900" max="5900" width="22.7109375" style="457" customWidth="1"/>
    <col min="5901" max="5902" width="11.42578125" style="457"/>
    <col min="5903" max="5903" width="16.42578125" style="457" customWidth="1"/>
    <col min="5904" max="6144" width="11.42578125" style="457"/>
    <col min="6145" max="6145" width="37.28515625" style="457" customWidth="1"/>
    <col min="6146" max="6146" width="39.42578125" style="457" customWidth="1"/>
    <col min="6147" max="6147" width="35.140625" style="457" customWidth="1"/>
    <col min="6148" max="6148" width="28" style="457" customWidth="1"/>
    <col min="6149" max="6149" width="26.7109375" style="457" customWidth="1"/>
    <col min="6150" max="6150" width="23.7109375" style="457" customWidth="1"/>
    <col min="6151" max="6151" width="30.7109375" style="457" bestFit="1" customWidth="1"/>
    <col min="6152" max="6152" width="24.140625" style="457" customWidth="1"/>
    <col min="6153" max="6153" width="30.42578125" style="457" customWidth="1"/>
    <col min="6154" max="6155" width="29" style="457" customWidth="1"/>
    <col min="6156" max="6156" width="22.7109375" style="457" customWidth="1"/>
    <col min="6157" max="6158" width="11.42578125" style="457"/>
    <col min="6159" max="6159" width="16.42578125" style="457" customWidth="1"/>
    <col min="6160" max="6400" width="11.42578125" style="457"/>
    <col min="6401" max="6401" width="37.28515625" style="457" customWidth="1"/>
    <col min="6402" max="6402" width="39.42578125" style="457" customWidth="1"/>
    <col min="6403" max="6403" width="35.140625" style="457" customWidth="1"/>
    <col min="6404" max="6404" width="28" style="457" customWidth="1"/>
    <col min="6405" max="6405" width="26.7109375" style="457" customWidth="1"/>
    <col min="6406" max="6406" width="23.7109375" style="457" customWidth="1"/>
    <col min="6407" max="6407" width="30.7109375" style="457" bestFit="1" customWidth="1"/>
    <col min="6408" max="6408" width="24.140625" style="457" customWidth="1"/>
    <col min="6409" max="6409" width="30.42578125" style="457" customWidth="1"/>
    <col min="6410" max="6411" width="29" style="457" customWidth="1"/>
    <col min="6412" max="6412" width="22.7109375" style="457" customWidth="1"/>
    <col min="6413" max="6414" width="11.42578125" style="457"/>
    <col min="6415" max="6415" width="16.42578125" style="457" customWidth="1"/>
    <col min="6416" max="6656" width="11.42578125" style="457"/>
    <col min="6657" max="6657" width="37.28515625" style="457" customWidth="1"/>
    <col min="6658" max="6658" width="39.42578125" style="457" customWidth="1"/>
    <col min="6659" max="6659" width="35.140625" style="457" customWidth="1"/>
    <col min="6660" max="6660" width="28" style="457" customWidth="1"/>
    <col min="6661" max="6661" width="26.7109375" style="457" customWidth="1"/>
    <col min="6662" max="6662" width="23.7109375" style="457" customWidth="1"/>
    <col min="6663" max="6663" width="30.7109375" style="457" bestFit="1" customWidth="1"/>
    <col min="6664" max="6664" width="24.140625" style="457" customWidth="1"/>
    <col min="6665" max="6665" width="30.42578125" style="457" customWidth="1"/>
    <col min="6666" max="6667" width="29" style="457" customWidth="1"/>
    <col min="6668" max="6668" width="22.7109375" style="457" customWidth="1"/>
    <col min="6669" max="6670" width="11.42578125" style="457"/>
    <col min="6671" max="6671" width="16.42578125" style="457" customWidth="1"/>
    <col min="6672" max="6912" width="11.42578125" style="457"/>
    <col min="6913" max="6913" width="37.28515625" style="457" customWidth="1"/>
    <col min="6914" max="6914" width="39.42578125" style="457" customWidth="1"/>
    <col min="6915" max="6915" width="35.140625" style="457" customWidth="1"/>
    <col min="6916" max="6916" width="28" style="457" customWidth="1"/>
    <col min="6917" max="6917" width="26.7109375" style="457" customWidth="1"/>
    <col min="6918" max="6918" width="23.7109375" style="457" customWidth="1"/>
    <col min="6919" max="6919" width="30.7109375" style="457" bestFit="1" customWidth="1"/>
    <col min="6920" max="6920" width="24.140625" style="457" customWidth="1"/>
    <col min="6921" max="6921" width="30.42578125" style="457" customWidth="1"/>
    <col min="6922" max="6923" width="29" style="457" customWidth="1"/>
    <col min="6924" max="6924" width="22.7109375" style="457" customWidth="1"/>
    <col min="6925" max="6926" width="11.42578125" style="457"/>
    <col min="6927" max="6927" width="16.42578125" style="457" customWidth="1"/>
    <col min="6928" max="7168" width="11.42578125" style="457"/>
    <col min="7169" max="7169" width="37.28515625" style="457" customWidth="1"/>
    <col min="7170" max="7170" width="39.42578125" style="457" customWidth="1"/>
    <col min="7171" max="7171" width="35.140625" style="457" customWidth="1"/>
    <col min="7172" max="7172" width="28" style="457" customWidth="1"/>
    <col min="7173" max="7173" width="26.7109375" style="457" customWidth="1"/>
    <col min="7174" max="7174" width="23.7109375" style="457" customWidth="1"/>
    <col min="7175" max="7175" width="30.7109375" style="457" bestFit="1" customWidth="1"/>
    <col min="7176" max="7176" width="24.140625" style="457" customWidth="1"/>
    <col min="7177" max="7177" width="30.42578125" style="457" customWidth="1"/>
    <col min="7178" max="7179" width="29" style="457" customWidth="1"/>
    <col min="7180" max="7180" width="22.7109375" style="457" customWidth="1"/>
    <col min="7181" max="7182" width="11.42578125" style="457"/>
    <col min="7183" max="7183" width="16.42578125" style="457" customWidth="1"/>
    <col min="7184" max="7424" width="11.42578125" style="457"/>
    <col min="7425" max="7425" width="37.28515625" style="457" customWidth="1"/>
    <col min="7426" max="7426" width="39.42578125" style="457" customWidth="1"/>
    <col min="7427" max="7427" width="35.140625" style="457" customWidth="1"/>
    <col min="7428" max="7428" width="28" style="457" customWidth="1"/>
    <col min="7429" max="7429" width="26.7109375" style="457" customWidth="1"/>
    <col min="7430" max="7430" width="23.7109375" style="457" customWidth="1"/>
    <col min="7431" max="7431" width="30.7109375" style="457" bestFit="1" customWidth="1"/>
    <col min="7432" max="7432" width="24.140625" style="457" customWidth="1"/>
    <col min="7433" max="7433" width="30.42578125" style="457" customWidth="1"/>
    <col min="7434" max="7435" width="29" style="457" customWidth="1"/>
    <col min="7436" max="7436" width="22.7109375" style="457" customWidth="1"/>
    <col min="7437" max="7438" width="11.42578125" style="457"/>
    <col min="7439" max="7439" width="16.42578125" style="457" customWidth="1"/>
    <col min="7440" max="7680" width="11.42578125" style="457"/>
    <col min="7681" max="7681" width="37.28515625" style="457" customWidth="1"/>
    <col min="7682" max="7682" width="39.42578125" style="457" customWidth="1"/>
    <col min="7683" max="7683" width="35.140625" style="457" customWidth="1"/>
    <col min="7684" max="7684" width="28" style="457" customWidth="1"/>
    <col min="7685" max="7685" width="26.7109375" style="457" customWidth="1"/>
    <col min="7686" max="7686" width="23.7109375" style="457" customWidth="1"/>
    <col min="7687" max="7687" width="30.7109375" style="457" bestFit="1" customWidth="1"/>
    <col min="7688" max="7688" width="24.140625" style="457" customWidth="1"/>
    <col min="7689" max="7689" width="30.42578125" style="457" customWidth="1"/>
    <col min="7690" max="7691" width="29" style="457" customWidth="1"/>
    <col min="7692" max="7692" width="22.7109375" style="457" customWidth="1"/>
    <col min="7693" max="7694" width="11.42578125" style="457"/>
    <col min="7695" max="7695" width="16.42578125" style="457" customWidth="1"/>
    <col min="7696" max="7936" width="11.42578125" style="457"/>
    <col min="7937" max="7937" width="37.28515625" style="457" customWidth="1"/>
    <col min="7938" max="7938" width="39.42578125" style="457" customWidth="1"/>
    <col min="7939" max="7939" width="35.140625" style="457" customWidth="1"/>
    <col min="7940" max="7940" width="28" style="457" customWidth="1"/>
    <col min="7941" max="7941" width="26.7109375" style="457" customWidth="1"/>
    <col min="7942" max="7942" width="23.7109375" style="457" customWidth="1"/>
    <col min="7943" max="7943" width="30.7109375" style="457" bestFit="1" customWidth="1"/>
    <col min="7944" max="7944" width="24.140625" style="457" customWidth="1"/>
    <col min="7945" max="7945" width="30.42578125" style="457" customWidth="1"/>
    <col min="7946" max="7947" width="29" style="457" customWidth="1"/>
    <col min="7948" max="7948" width="22.7109375" style="457" customWidth="1"/>
    <col min="7949" max="7950" width="11.42578125" style="457"/>
    <col min="7951" max="7951" width="16.42578125" style="457" customWidth="1"/>
    <col min="7952" max="8192" width="11.42578125" style="457"/>
    <col min="8193" max="8193" width="37.28515625" style="457" customWidth="1"/>
    <col min="8194" max="8194" width="39.42578125" style="457" customWidth="1"/>
    <col min="8195" max="8195" width="35.140625" style="457" customWidth="1"/>
    <col min="8196" max="8196" width="28" style="457" customWidth="1"/>
    <col min="8197" max="8197" width="26.7109375" style="457" customWidth="1"/>
    <col min="8198" max="8198" width="23.7109375" style="457" customWidth="1"/>
    <col min="8199" max="8199" width="30.7109375" style="457" bestFit="1" customWidth="1"/>
    <col min="8200" max="8200" width="24.140625" style="457" customWidth="1"/>
    <col min="8201" max="8201" width="30.42578125" style="457" customWidth="1"/>
    <col min="8202" max="8203" width="29" style="457" customWidth="1"/>
    <col min="8204" max="8204" width="22.7109375" style="457" customWidth="1"/>
    <col min="8205" max="8206" width="11.42578125" style="457"/>
    <col min="8207" max="8207" width="16.42578125" style="457" customWidth="1"/>
    <col min="8208" max="8448" width="11.42578125" style="457"/>
    <col min="8449" max="8449" width="37.28515625" style="457" customWidth="1"/>
    <col min="8450" max="8450" width="39.42578125" style="457" customWidth="1"/>
    <col min="8451" max="8451" width="35.140625" style="457" customWidth="1"/>
    <col min="8452" max="8452" width="28" style="457" customWidth="1"/>
    <col min="8453" max="8453" width="26.7109375" style="457" customWidth="1"/>
    <col min="8454" max="8454" width="23.7109375" style="457" customWidth="1"/>
    <col min="8455" max="8455" width="30.7109375" style="457" bestFit="1" customWidth="1"/>
    <col min="8456" max="8456" width="24.140625" style="457" customWidth="1"/>
    <col min="8457" max="8457" width="30.42578125" style="457" customWidth="1"/>
    <col min="8458" max="8459" width="29" style="457" customWidth="1"/>
    <col min="8460" max="8460" width="22.7109375" style="457" customWidth="1"/>
    <col min="8461" max="8462" width="11.42578125" style="457"/>
    <col min="8463" max="8463" width="16.42578125" style="457" customWidth="1"/>
    <col min="8464" max="8704" width="11.42578125" style="457"/>
    <col min="8705" max="8705" width="37.28515625" style="457" customWidth="1"/>
    <col min="8706" max="8706" width="39.42578125" style="457" customWidth="1"/>
    <col min="8707" max="8707" width="35.140625" style="457" customWidth="1"/>
    <col min="8708" max="8708" width="28" style="457" customWidth="1"/>
    <col min="8709" max="8709" width="26.7109375" style="457" customWidth="1"/>
    <col min="8710" max="8710" width="23.7109375" style="457" customWidth="1"/>
    <col min="8711" max="8711" width="30.7109375" style="457" bestFit="1" customWidth="1"/>
    <col min="8712" max="8712" width="24.140625" style="457" customWidth="1"/>
    <col min="8713" max="8713" width="30.42578125" style="457" customWidth="1"/>
    <col min="8714" max="8715" width="29" style="457" customWidth="1"/>
    <col min="8716" max="8716" width="22.7109375" style="457" customWidth="1"/>
    <col min="8717" max="8718" width="11.42578125" style="457"/>
    <col min="8719" max="8719" width="16.42578125" style="457" customWidth="1"/>
    <col min="8720" max="8960" width="11.42578125" style="457"/>
    <col min="8961" max="8961" width="37.28515625" style="457" customWidth="1"/>
    <col min="8962" max="8962" width="39.42578125" style="457" customWidth="1"/>
    <col min="8963" max="8963" width="35.140625" style="457" customWidth="1"/>
    <col min="8964" max="8964" width="28" style="457" customWidth="1"/>
    <col min="8965" max="8965" width="26.7109375" style="457" customWidth="1"/>
    <col min="8966" max="8966" width="23.7109375" style="457" customWidth="1"/>
    <col min="8967" max="8967" width="30.7109375" style="457" bestFit="1" customWidth="1"/>
    <col min="8968" max="8968" width="24.140625" style="457" customWidth="1"/>
    <col min="8969" max="8969" width="30.42578125" style="457" customWidth="1"/>
    <col min="8970" max="8971" width="29" style="457" customWidth="1"/>
    <col min="8972" max="8972" width="22.7109375" style="457" customWidth="1"/>
    <col min="8973" max="8974" width="11.42578125" style="457"/>
    <col min="8975" max="8975" width="16.42578125" style="457" customWidth="1"/>
    <col min="8976" max="9216" width="11.42578125" style="457"/>
    <col min="9217" max="9217" width="37.28515625" style="457" customWidth="1"/>
    <col min="9218" max="9218" width="39.42578125" style="457" customWidth="1"/>
    <col min="9219" max="9219" width="35.140625" style="457" customWidth="1"/>
    <col min="9220" max="9220" width="28" style="457" customWidth="1"/>
    <col min="9221" max="9221" width="26.7109375" style="457" customWidth="1"/>
    <col min="9222" max="9222" width="23.7109375" style="457" customWidth="1"/>
    <col min="9223" max="9223" width="30.7109375" style="457" bestFit="1" customWidth="1"/>
    <col min="9224" max="9224" width="24.140625" style="457" customWidth="1"/>
    <col min="9225" max="9225" width="30.42578125" style="457" customWidth="1"/>
    <col min="9226" max="9227" width="29" style="457" customWidth="1"/>
    <col min="9228" max="9228" width="22.7109375" style="457" customWidth="1"/>
    <col min="9229" max="9230" width="11.42578125" style="457"/>
    <col min="9231" max="9231" width="16.42578125" style="457" customWidth="1"/>
    <col min="9232" max="9472" width="11.42578125" style="457"/>
    <col min="9473" max="9473" width="37.28515625" style="457" customWidth="1"/>
    <col min="9474" max="9474" width="39.42578125" style="457" customWidth="1"/>
    <col min="9475" max="9475" width="35.140625" style="457" customWidth="1"/>
    <col min="9476" max="9476" width="28" style="457" customWidth="1"/>
    <col min="9477" max="9477" width="26.7109375" style="457" customWidth="1"/>
    <col min="9478" max="9478" width="23.7109375" style="457" customWidth="1"/>
    <col min="9479" max="9479" width="30.7109375" style="457" bestFit="1" customWidth="1"/>
    <col min="9480" max="9480" width="24.140625" style="457" customWidth="1"/>
    <col min="9481" max="9481" width="30.42578125" style="457" customWidth="1"/>
    <col min="9482" max="9483" width="29" style="457" customWidth="1"/>
    <col min="9484" max="9484" width="22.7109375" style="457" customWidth="1"/>
    <col min="9485" max="9486" width="11.42578125" style="457"/>
    <col min="9487" max="9487" width="16.42578125" style="457" customWidth="1"/>
    <col min="9488" max="9728" width="11.42578125" style="457"/>
    <col min="9729" max="9729" width="37.28515625" style="457" customWidth="1"/>
    <col min="9730" max="9730" width="39.42578125" style="457" customWidth="1"/>
    <col min="9731" max="9731" width="35.140625" style="457" customWidth="1"/>
    <col min="9732" max="9732" width="28" style="457" customWidth="1"/>
    <col min="9733" max="9733" width="26.7109375" style="457" customWidth="1"/>
    <col min="9734" max="9734" width="23.7109375" style="457" customWidth="1"/>
    <col min="9735" max="9735" width="30.7109375" style="457" bestFit="1" customWidth="1"/>
    <col min="9736" max="9736" width="24.140625" style="457" customWidth="1"/>
    <col min="9737" max="9737" width="30.42578125" style="457" customWidth="1"/>
    <col min="9738" max="9739" width="29" style="457" customWidth="1"/>
    <col min="9740" max="9740" width="22.7109375" style="457" customWidth="1"/>
    <col min="9741" max="9742" width="11.42578125" style="457"/>
    <col min="9743" max="9743" width="16.42578125" style="457" customWidth="1"/>
    <col min="9744" max="9984" width="11.42578125" style="457"/>
    <col min="9985" max="9985" width="37.28515625" style="457" customWidth="1"/>
    <col min="9986" max="9986" width="39.42578125" style="457" customWidth="1"/>
    <col min="9987" max="9987" width="35.140625" style="457" customWidth="1"/>
    <col min="9988" max="9988" width="28" style="457" customWidth="1"/>
    <col min="9989" max="9989" width="26.7109375" style="457" customWidth="1"/>
    <col min="9990" max="9990" width="23.7109375" style="457" customWidth="1"/>
    <col min="9991" max="9991" width="30.7109375" style="457" bestFit="1" customWidth="1"/>
    <col min="9992" max="9992" width="24.140625" style="457" customWidth="1"/>
    <col min="9993" max="9993" width="30.42578125" style="457" customWidth="1"/>
    <col min="9994" max="9995" width="29" style="457" customWidth="1"/>
    <col min="9996" max="9996" width="22.7109375" style="457" customWidth="1"/>
    <col min="9997" max="9998" width="11.42578125" style="457"/>
    <col min="9999" max="9999" width="16.42578125" style="457" customWidth="1"/>
    <col min="10000" max="10240" width="11.42578125" style="457"/>
    <col min="10241" max="10241" width="37.28515625" style="457" customWidth="1"/>
    <col min="10242" max="10242" width="39.42578125" style="457" customWidth="1"/>
    <col min="10243" max="10243" width="35.140625" style="457" customWidth="1"/>
    <col min="10244" max="10244" width="28" style="457" customWidth="1"/>
    <col min="10245" max="10245" width="26.7109375" style="457" customWidth="1"/>
    <col min="10246" max="10246" width="23.7109375" style="457" customWidth="1"/>
    <col min="10247" max="10247" width="30.7109375" style="457" bestFit="1" customWidth="1"/>
    <col min="10248" max="10248" width="24.140625" style="457" customWidth="1"/>
    <col min="10249" max="10249" width="30.42578125" style="457" customWidth="1"/>
    <col min="10250" max="10251" width="29" style="457" customWidth="1"/>
    <col min="10252" max="10252" width="22.7109375" style="457" customWidth="1"/>
    <col min="10253" max="10254" width="11.42578125" style="457"/>
    <col min="10255" max="10255" width="16.42578125" style="457" customWidth="1"/>
    <col min="10256" max="10496" width="11.42578125" style="457"/>
    <col min="10497" max="10497" width="37.28515625" style="457" customWidth="1"/>
    <col min="10498" max="10498" width="39.42578125" style="457" customWidth="1"/>
    <col min="10499" max="10499" width="35.140625" style="457" customWidth="1"/>
    <col min="10500" max="10500" width="28" style="457" customWidth="1"/>
    <col min="10501" max="10501" width="26.7109375" style="457" customWidth="1"/>
    <col min="10502" max="10502" width="23.7109375" style="457" customWidth="1"/>
    <col min="10503" max="10503" width="30.7109375" style="457" bestFit="1" customWidth="1"/>
    <col min="10504" max="10504" width="24.140625" style="457" customWidth="1"/>
    <col min="10505" max="10505" width="30.42578125" style="457" customWidth="1"/>
    <col min="10506" max="10507" width="29" style="457" customWidth="1"/>
    <col min="10508" max="10508" width="22.7109375" style="457" customWidth="1"/>
    <col min="10509" max="10510" width="11.42578125" style="457"/>
    <col min="10511" max="10511" width="16.42578125" style="457" customWidth="1"/>
    <col min="10512" max="10752" width="11.42578125" style="457"/>
    <col min="10753" max="10753" width="37.28515625" style="457" customWidth="1"/>
    <col min="10754" max="10754" width="39.42578125" style="457" customWidth="1"/>
    <col min="10755" max="10755" width="35.140625" style="457" customWidth="1"/>
    <col min="10756" max="10756" width="28" style="457" customWidth="1"/>
    <col min="10757" max="10757" width="26.7109375" style="457" customWidth="1"/>
    <col min="10758" max="10758" width="23.7109375" style="457" customWidth="1"/>
    <col min="10759" max="10759" width="30.7109375" style="457" bestFit="1" customWidth="1"/>
    <col min="10760" max="10760" width="24.140625" style="457" customWidth="1"/>
    <col min="10761" max="10761" width="30.42578125" style="457" customWidth="1"/>
    <col min="10762" max="10763" width="29" style="457" customWidth="1"/>
    <col min="10764" max="10764" width="22.7109375" style="457" customWidth="1"/>
    <col min="10765" max="10766" width="11.42578125" style="457"/>
    <col min="10767" max="10767" width="16.42578125" style="457" customWidth="1"/>
    <col min="10768" max="11008" width="11.42578125" style="457"/>
    <col min="11009" max="11009" width="37.28515625" style="457" customWidth="1"/>
    <col min="11010" max="11010" width="39.42578125" style="457" customWidth="1"/>
    <col min="11011" max="11011" width="35.140625" style="457" customWidth="1"/>
    <col min="11012" max="11012" width="28" style="457" customWidth="1"/>
    <col min="11013" max="11013" width="26.7109375" style="457" customWidth="1"/>
    <col min="11014" max="11014" width="23.7109375" style="457" customWidth="1"/>
    <col min="11015" max="11015" width="30.7109375" style="457" bestFit="1" customWidth="1"/>
    <col min="11016" max="11016" width="24.140625" style="457" customWidth="1"/>
    <col min="11017" max="11017" width="30.42578125" style="457" customWidth="1"/>
    <col min="11018" max="11019" width="29" style="457" customWidth="1"/>
    <col min="11020" max="11020" width="22.7109375" style="457" customWidth="1"/>
    <col min="11021" max="11022" width="11.42578125" style="457"/>
    <col min="11023" max="11023" width="16.42578125" style="457" customWidth="1"/>
    <col min="11024" max="11264" width="11.42578125" style="457"/>
    <col min="11265" max="11265" width="37.28515625" style="457" customWidth="1"/>
    <col min="11266" max="11266" width="39.42578125" style="457" customWidth="1"/>
    <col min="11267" max="11267" width="35.140625" style="457" customWidth="1"/>
    <col min="11268" max="11268" width="28" style="457" customWidth="1"/>
    <col min="11269" max="11269" width="26.7109375" style="457" customWidth="1"/>
    <col min="11270" max="11270" width="23.7109375" style="457" customWidth="1"/>
    <col min="11271" max="11271" width="30.7109375" style="457" bestFit="1" customWidth="1"/>
    <col min="11272" max="11272" width="24.140625" style="457" customWidth="1"/>
    <col min="11273" max="11273" width="30.42578125" style="457" customWidth="1"/>
    <col min="11274" max="11275" width="29" style="457" customWidth="1"/>
    <col min="11276" max="11276" width="22.7109375" style="457" customWidth="1"/>
    <col min="11277" max="11278" width="11.42578125" style="457"/>
    <col min="11279" max="11279" width="16.42578125" style="457" customWidth="1"/>
    <col min="11280" max="11520" width="11.42578125" style="457"/>
    <col min="11521" max="11521" width="37.28515625" style="457" customWidth="1"/>
    <col min="11522" max="11522" width="39.42578125" style="457" customWidth="1"/>
    <col min="11523" max="11523" width="35.140625" style="457" customWidth="1"/>
    <col min="11524" max="11524" width="28" style="457" customWidth="1"/>
    <col min="11525" max="11525" width="26.7109375" style="457" customWidth="1"/>
    <col min="11526" max="11526" width="23.7109375" style="457" customWidth="1"/>
    <col min="11527" max="11527" width="30.7109375" style="457" bestFit="1" customWidth="1"/>
    <col min="11528" max="11528" width="24.140625" style="457" customWidth="1"/>
    <col min="11529" max="11529" width="30.42578125" style="457" customWidth="1"/>
    <col min="11530" max="11531" width="29" style="457" customWidth="1"/>
    <col min="11532" max="11532" width="22.7109375" style="457" customWidth="1"/>
    <col min="11533" max="11534" width="11.42578125" style="457"/>
    <col min="11535" max="11535" width="16.42578125" style="457" customWidth="1"/>
    <col min="11536" max="11776" width="11.42578125" style="457"/>
    <col min="11777" max="11777" width="37.28515625" style="457" customWidth="1"/>
    <col min="11778" max="11778" width="39.42578125" style="457" customWidth="1"/>
    <col min="11779" max="11779" width="35.140625" style="457" customWidth="1"/>
    <col min="11780" max="11780" width="28" style="457" customWidth="1"/>
    <col min="11781" max="11781" width="26.7109375" style="457" customWidth="1"/>
    <col min="11782" max="11782" width="23.7109375" style="457" customWidth="1"/>
    <col min="11783" max="11783" width="30.7109375" style="457" bestFit="1" customWidth="1"/>
    <col min="11784" max="11784" width="24.140625" style="457" customWidth="1"/>
    <col min="11785" max="11785" width="30.42578125" style="457" customWidth="1"/>
    <col min="11786" max="11787" width="29" style="457" customWidth="1"/>
    <col min="11788" max="11788" width="22.7109375" style="457" customWidth="1"/>
    <col min="11789" max="11790" width="11.42578125" style="457"/>
    <col min="11791" max="11791" width="16.42578125" style="457" customWidth="1"/>
    <col min="11792" max="12032" width="11.42578125" style="457"/>
    <col min="12033" max="12033" width="37.28515625" style="457" customWidth="1"/>
    <col min="12034" max="12034" width="39.42578125" style="457" customWidth="1"/>
    <col min="12035" max="12035" width="35.140625" style="457" customWidth="1"/>
    <col min="12036" max="12036" width="28" style="457" customWidth="1"/>
    <col min="12037" max="12037" width="26.7109375" style="457" customWidth="1"/>
    <col min="12038" max="12038" width="23.7109375" style="457" customWidth="1"/>
    <col min="12039" max="12039" width="30.7109375" style="457" bestFit="1" customWidth="1"/>
    <col min="12040" max="12040" width="24.140625" style="457" customWidth="1"/>
    <col min="12041" max="12041" width="30.42578125" style="457" customWidth="1"/>
    <col min="12042" max="12043" width="29" style="457" customWidth="1"/>
    <col min="12044" max="12044" width="22.7109375" style="457" customWidth="1"/>
    <col min="12045" max="12046" width="11.42578125" style="457"/>
    <col min="12047" max="12047" width="16.42578125" style="457" customWidth="1"/>
    <col min="12048" max="12288" width="11.42578125" style="457"/>
    <col min="12289" max="12289" width="37.28515625" style="457" customWidth="1"/>
    <col min="12290" max="12290" width="39.42578125" style="457" customWidth="1"/>
    <col min="12291" max="12291" width="35.140625" style="457" customWidth="1"/>
    <col min="12292" max="12292" width="28" style="457" customWidth="1"/>
    <col min="12293" max="12293" width="26.7109375" style="457" customWidth="1"/>
    <col min="12294" max="12294" width="23.7109375" style="457" customWidth="1"/>
    <col min="12295" max="12295" width="30.7109375" style="457" bestFit="1" customWidth="1"/>
    <col min="12296" max="12296" width="24.140625" style="457" customWidth="1"/>
    <col min="12297" max="12297" width="30.42578125" style="457" customWidth="1"/>
    <col min="12298" max="12299" width="29" style="457" customWidth="1"/>
    <col min="12300" max="12300" width="22.7109375" style="457" customWidth="1"/>
    <col min="12301" max="12302" width="11.42578125" style="457"/>
    <col min="12303" max="12303" width="16.42578125" style="457" customWidth="1"/>
    <col min="12304" max="12544" width="11.42578125" style="457"/>
    <col min="12545" max="12545" width="37.28515625" style="457" customWidth="1"/>
    <col min="12546" max="12546" width="39.42578125" style="457" customWidth="1"/>
    <col min="12547" max="12547" width="35.140625" style="457" customWidth="1"/>
    <col min="12548" max="12548" width="28" style="457" customWidth="1"/>
    <col min="12549" max="12549" width="26.7109375" style="457" customWidth="1"/>
    <col min="12550" max="12550" width="23.7109375" style="457" customWidth="1"/>
    <col min="12551" max="12551" width="30.7109375" style="457" bestFit="1" customWidth="1"/>
    <col min="12552" max="12552" width="24.140625" style="457" customWidth="1"/>
    <col min="12553" max="12553" width="30.42578125" style="457" customWidth="1"/>
    <col min="12554" max="12555" width="29" style="457" customWidth="1"/>
    <col min="12556" max="12556" width="22.7109375" style="457" customWidth="1"/>
    <col min="12557" max="12558" width="11.42578125" style="457"/>
    <col min="12559" max="12559" width="16.42578125" style="457" customWidth="1"/>
    <col min="12560" max="12800" width="11.42578125" style="457"/>
    <col min="12801" max="12801" width="37.28515625" style="457" customWidth="1"/>
    <col min="12802" max="12802" width="39.42578125" style="457" customWidth="1"/>
    <col min="12803" max="12803" width="35.140625" style="457" customWidth="1"/>
    <col min="12804" max="12804" width="28" style="457" customWidth="1"/>
    <col min="12805" max="12805" width="26.7109375" style="457" customWidth="1"/>
    <col min="12806" max="12806" width="23.7109375" style="457" customWidth="1"/>
    <col min="12807" max="12807" width="30.7109375" style="457" bestFit="1" customWidth="1"/>
    <col min="12808" max="12808" width="24.140625" style="457" customWidth="1"/>
    <col min="12809" max="12809" width="30.42578125" style="457" customWidth="1"/>
    <col min="12810" max="12811" width="29" style="457" customWidth="1"/>
    <col min="12812" max="12812" width="22.7109375" style="457" customWidth="1"/>
    <col min="12813" max="12814" width="11.42578125" style="457"/>
    <col min="12815" max="12815" width="16.42578125" style="457" customWidth="1"/>
    <col min="12816" max="13056" width="11.42578125" style="457"/>
    <col min="13057" max="13057" width="37.28515625" style="457" customWidth="1"/>
    <col min="13058" max="13058" width="39.42578125" style="457" customWidth="1"/>
    <col min="13059" max="13059" width="35.140625" style="457" customWidth="1"/>
    <col min="13060" max="13060" width="28" style="457" customWidth="1"/>
    <col min="13061" max="13061" width="26.7109375" style="457" customWidth="1"/>
    <col min="13062" max="13062" width="23.7109375" style="457" customWidth="1"/>
    <col min="13063" max="13063" width="30.7109375" style="457" bestFit="1" customWidth="1"/>
    <col min="13064" max="13064" width="24.140625" style="457" customWidth="1"/>
    <col min="13065" max="13065" width="30.42578125" style="457" customWidth="1"/>
    <col min="13066" max="13067" width="29" style="457" customWidth="1"/>
    <col min="13068" max="13068" width="22.7109375" style="457" customWidth="1"/>
    <col min="13069" max="13070" width="11.42578125" style="457"/>
    <col min="13071" max="13071" width="16.42578125" style="457" customWidth="1"/>
    <col min="13072" max="13312" width="11.42578125" style="457"/>
    <col min="13313" max="13313" width="37.28515625" style="457" customWidth="1"/>
    <col min="13314" max="13314" width="39.42578125" style="457" customWidth="1"/>
    <col min="13315" max="13315" width="35.140625" style="457" customWidth="1"/>
    <col min="13316" max="13316" width="28" style="457" customWidth="1"/>
    <col min="13317" max="13317" width="26.7109375" style="457" customWidth="1"/>
    <col min="13318" max="13318" width="23.7109375" style="457" customWidth="1"/>
    <col min="13319" max="13319" width="30.7109375" style="457" bestFit="1" customWidth="1"/>
    <col min="13320" max="13320" width="24.140625" style="457" customWidth="1"/>
    <col min="13321" max="13321" width="30.42578125" style="457" customWidth="1"/>
    <col min="13322" max="13323" width="29" style="457" customWidth="1"/>
    <col min="13324" max="13324" width="22.7109375" style="457" customWidth="1"/>
    <col min="13325" max="13326" width="11.42578125" style="457"/>
    <col min="13327" max="13327" width="16.42578125" style="457" customWidth="1"/>
    <col min="13328" max="13568" width="11.42578125" style="457"/>
    <col min="13569" max="13569" width="37.28515625" style="457" customWidth="1"/>
    <col min="13570" max="13570" width="39.42578125" style="457" customWidth="1"/>
    <col min="13571" max="13571" width="35.140625" style="457" customWidth="1"/>
    <col min="13572" max="13572" width="28" style="457" customWidth="1"/>
    <col min="13573" max="13573" width="26.7109375" style="457" customWidth="1"/>
    <col min="13574" max="13574" width="23.7109375" style="457" customWidth="1"/>
    <col min="13575" max="13575" width="30.7109375" style="457" bestFit="1" customWidth="1"/>
    <col min="13576" max="13576" width="24.140625" style="457" customWidth="1"/>
    <col min="13577" max="13577" width="30.42578125" style="457" customWidth="1"/>
    <col min="13578" max="13579" width="29" style="457" customWidth="1"/>
    <col min="13580" max="13580" width="22.7109375" style="457" customWidth="1"/>
    <col min="13581" max="13582" width="11.42578125" style="457"/>
    <col min="13583" max="13583" width="16.42578125" style="457" customWidth="1"/>
    <col min="13584" max="13824" width="11.42578125" style="457"/>
    <col min="13825" max="13825" width="37.28515625" style="457" customWidth="1"/>
    <col min="13826" max="13826" width="39.42578125" style="457" customWidth="1"/>
    <col min="13827" max="13827" width="35.140625" style="457" customWidth="1"/>
    <col min="13828" max="13828" width="28" style="457" customWidth="1"/>
    <col min="13829" max="13829" width="26.7109375" style="457" customWidth="1"/>
    <col min="13830" max="13830" width="23.7109375" style="457" customWidth="1"/>
    <col min="13831" max="13831" width="30.7109375" style="457" bestFit="1" customWidth="1"/>
    <col min="13832" max="13832" width="24.140625" style="457" customWidth="1"/>
    <col min="13833" max="13833" width="30.42578125" style="457" customWidth="1"/>
    <col min="13834" max="13835" width="29" style="457" customWidth="1"/>
    <col min="13836" max="13836" width="22.7109375" style="457" customWidth="1"/>
    <col min="13837" max="13838" width="11.42578125" style="457"/>
    <col min="13839" max="13839" width="16.42578125" style="457" customWidth="1"/>
    <col min="13840" max="14080" width="11.42578125" style="457"/>
    <col min="14081" max="14081" width="37.28515625" style="457" customWidth="1"/>
    <col min="14082" max="14082" width="39.42578125" style="457" customWidth="1"/>
    <col min="14083" max="14083" width="35.140625" style="457" customWidth="1"/>
    <col min="14084" max="14084" width="28" style="457" customWidth="1"/>
    <col min="14085" max="14085" width="26.7109375" style="457" customWidth="1"/>
    <col min="14086" max="14086" width="23.7109375" style="457" customWidth="1"/>
    <col min="14087" max="14087" width="30.7109375" style="457" bestFit="1" customWidth="1"/>
    <col min="14088" max="14088" width="24.140625" style="457" customWidth="1"/>
    <col min="14089" max="14089" width="30.42578125" style="457" customWidth="1"/>
    <col min="14090" max="14091" width="29" style="457" customWidth="1"/>
    <col min="14092" max="14092" width="22.7109375" style="457" customWidth="1"/>
    <col min="14093" max="14094" width="11.42578125" style="457"/>
    <col min="14095" max="14095" width="16.42578125" style="457" customWidth="1"/>
    <col min="14096" max="14336" width="11.42578125" style="457"/>
    <col min="14337" max="14337" width="37.28515625" style="457" customWidth="1"/>
    <col min="14338" max="14338" width="39.42578125" style="457" customWidth="1"/>
    <col min="14339" max="14339" width="35.140625" style="457" customWidth="1"/>
    <col min="14340" max="14340" width="28" style="457" customWidth="1"/>
    <col min="14341" max="14341" width="26.7109375" style="457" customWidth="1"/>
    <col min="14342" max="14342" width="23.7109375" style="457" customWidth="1"/>
    <col min="14343" max="14343" width="30.7109375" style="457" bestFit="1" customWidth="1"/>
    <col min="14344" max="14344" width="24.140625" style="457" customWidth="1"/>
    <col min="14345" max="14345" width="30.42578125" style="457" customWidth="1"/>
    <col min="14346" max="14347" width="29" style="457" customWidth="1"/>
    <col min="14348" max="14348" width="22.7109375" style="457" customWidth="1"/>
    <col min="14349" max="14350" width="11.42578125" style="457"/>
    <col min="14351" max="14351" width="16.42578125" style="457" customWidth="1"/>
    <col min="14352" max="14592" width="11.42578125" style="457"/>
    <col min="14593" max="14593" width="37.28515625" style="457" customWidth="1"/>
    <col min="14594" max="14594" width="39.42578125" style="457" customWidth="1"/>
    <col min="14595" max="14595" width="35.140625" style="457" customWidth="1"/>
    <col min="14596" max="14596" width="28" style="457" customWidth="1"/>
    <col min="14597" max="14597" width="26.7109375" style="457" customWidth="1"/>
    <col min="14598" max="14598" width="23.7109375" style="457" customWidth="1"/>
    <col min="14599" max="14599" width="30.7109375" style="457" bestFit="1" customWidth="1"/>
    <col min="14600" max="14600" width="24.140625" style="457" customWidth="1"/>
    <col min="14601" max="14601" width="30.42578125" style="457" customWidth="1"/>
    <col min="14602" max="14603" width="29" style="457" customWidth="1"/>
    <col min="14604" max="14604" width="22.7109375" style="457" customWidth="1"/>
    <col min="14605" max="14606" width="11.42578125" style="457"/>
    <col min="14607" max="14607" width="16.42578125" style="457" customWidth="1"/>
    <col min="14608" max="14848" width="11.42578125" style="457"/>
    <col min="14849" max="14849" width="37.28515625" style="457" customWidth="1"/>
    <col min="14850" max="14850" width="39.42578125" style="457" customWidth="1"/>
    <col min="14851" max="14851" width="35.140625" style="457" customWidth="1"/>
    <col min="14852" max="14852" width="28" style="457" customWidth="1"/>
    <col min="14853" max="14853" width="26.7109375" style="457" customWidth="1"/>
    <col min="14854" max="14854" width="23.7109375" style="457" customWidth="1"/>
    <col min="14855" max="14855" width="30.7109375" style="457" bestFit="1" customWidth="1"/>
    <col min="14856" max="14856" width="24.140625" style="457" customWidth="1"/>
    <col min="14857" max="14857" width="30.42578125" style="457" customWidth="1"/>
    <col min="14858" max="14859" width="29" style="457" customWidth="1"/>
    <col min="14860" max="14860" width="22.7109375" style="457" customWidth="1"/>
    <col min="14861" max="14862" width="11.42578125" style="457"/>
    <col min="14863" max="14863" width="16.42578125" style="457" customWidth="1"/>
    <col min="14864" max="15104" width="11.42578125" style="457"/>
    <col min="15105" max="15105" width="37.28515625" style="457" customWidth="1"/>
    <col min="15106" max="15106" width="39.42578125" style="457" customWidth="1"/>
    <col min="15107" max="15107" width="35.140625" style="457" customWidth="1"/>
    <col min="15108" max="15108" width="28" style="457" customWidth="1"/>
    <col min="15109" max="15109" width="26.7109375" style="457" customWidth="1"/>
    <col min="15110" max="15110" width="23.7109375" style="457" customWidth="1"/>
    <col min="15111" max="15111" width="30.7109375" style="457" bestFit="1" customWidth="1"/>
    <col min="15112" max="15112" width="24.140625" style="457" customWidth="1"/>
    <col min="15113" max="15113" width="30.42578125" style="457" customWidth="1"/>
    <col min="15114" max="15115" width="29" style="457" customWidth="1"/>
    <col min="15116" max="15116" width="22.7109375" style="457" customWidth="1"/>
    <col min="15117" max="15118" width="11.42578125" style="457"/>
    <col min="15119" max="15119" width="16.42578125" style="457" customWidth="1"/>
    <col min="15120" max="15360" width="11.42578125" style="457"/>
    <col min="15361" max="15361" width="37.28515625" style="457" customWidth="1"/>
    <col min="15362" max="15362" width="39.42578125" style="457" customWidth="1"/>
    <col min="15363" max="15363" width="35.140625" style="457" customWidth="1"/>
    <col min="15364" max="15364" width="28" style="457" customWidth="1"/>
    <col min="15365" max="15365" width="26.7109375" style="457" customWidth="1"/>
    <col min="15366" max="15366" width="23.7109375" style="457" customWidth="1"/>
    <col min="15367" max="15367" width="30.7109375" style="457" bestFit="1" customWidth="1"/>
    <col min="15368" max="15368" width="24.140625" style="457" customWidth="1"/>
    <col min="15369" max="15369" width="30.42578125" style="457" customWidth="1"/>
    <col min="15370" max="15371" width="29" style="457" customWidth="1"/>
    <col min="15372" max="15372" width="22.7109375" style="457" customWidth="1"/>
    <col min="15373" max="15374" width="11.42578125" style="457"/>
    <col min="15375" max="15375" width="16.42578125" style="457" customWidth="1"/>
    <col min="15376" max="15616" width="11.42578125" style="457"/>
    <col min="15617" max="15617" width="37.28515625" style="457" customWidth="1"/>
    <col min="15618" max="15618" width="39.42578125" style="457" customWidth="1"/>
    <col min="15619" max="15619" width="35.140625" style="457" customWidth="1"/>
    <col min="15620" max="15620" width="28" style="457" customWidth="1"/>
    <col min="15621" max="15621" width="26.7109375" style="457" customWidth="1"/>
    <col min="15622" max="15622" width="23.7109375" style="457" customWidth="1"/>
    <col min="15623" max="15623" width="30.7109375" style="457" bestFit="1" customWidth="1"/>
    <col min="15624" max="15624" width="24.140625" style="457" customWidth="1"/>
    <col min="15625" max="15625" width="30.42578125" style="457" customWidth="1"/>
    <col min="15626" max="15627" width="29" style="457" customWidth="1"/>
    <col min="15628" max="15628" width="22.7109375" style="457" customWidth="1"/>
    <col min="15629" max="15630" width="11.42578125" style="457"/>
    <col min="15631" max="15631" width="16.42578125" style="457" customWidth="1"/>
    <col min="15632" max="15872" width="11.42578125" style="457"/>
    <col min="15873" max="15873" width="37.28515625" style="457" customWidth="1"/>
    <col min="15874" max="15874" width="39.42578125" style="457" customWidth="1"/>
    <col min="15875" max="15875" width="35.140625" style="457" customWidth="1"/>
    <col min="15876" max="15876" width="28" style="457" customWidth="1"/>
    <col min="15877" max="15877" width="26.7109375" style="457" customWidth="1"/>
    <col min="15878" max="15878" width="23.7109375" style="457" customWidth="1"/>
    <col min="15879" max="15879" width="30.7109375" style="457" bestFit="1" customWidth="1"/>
    <col min="15880" max="15880" width="24.140625" style="457" customWidth="1"/>
    <col min="15881" max="15881" width="30.42578125" style="457" customWidth="1"/>
    <col min="15882" max="15883" width="29" style="457" customWidth="1"/>
    <col min="15884" max="15884" width="22.7109375" style="457" customWidth="1"/>
    <col min="15885" max="15886" width="11.42578125" style="457"/>
    <col min="15887" max="15887" width="16.42578125" style="457" customWidth="1"/>
    <col min="15888" max="16128" width="11.42578125" style="457"/>
    <col min="16129" max="16129" width="37.28515625" style="457" customWidth="1"/>
    <col min="16130" max="16130" width="39.42578125" style="457" customWidth="1"/>
    <col min="16131" max="16131" width="35.140625" style="457" customWidth="1"/>
    <col min="16132" max="16132" width="28" style="457" customWidth="1"/>
    <col min="16133" max="16133" width="26.7109375" style="457" customWidth="1"/>
    <col min="16134" max="16134" width="23.7109375" style="457" customWidth="1"/>
    <col min="16135" max="16135" width="30.7109375" style="457" bestFit="1" customWidth="1"/>
    <col min="16136" max="16136" width="24.140625" style="457" customWidth="1"/>
    <col min="16137" max="16137" width="30.42578125" style="457" customWidth="1"/>
    <col min="16138" max="16139" width="29" style="457" customWidth="1"/>
    <col min="16140" max="16140" width="22.7109375" style="457" customWidth="1"/>
    <col min="16141" max="16142" width="11.42578125" style="457"/>
    <col min="16143" max="16143" width="16.42578125" style="457" customWidth="1"/>
    <col min="16144" max="16384" width="11.42578125" style="457"/>
  </cols>
  <sheetData>
    <row r="1" spans="1:12" ht="47.25" customHeight="1" x14ac:dyDescent="0.25">
      <c r="A1" s="1529"/>
      <c r="B1" s="1488" t="s">
        <v>1794</v>
      </c>
      <c r="C1" s="1488"/>
      <c r="D1" s="1488"/>
      <c r="E1" s="1488"/>
      <c r="F1" s="1488"/>
      <c r="G1" s="1488"/>
      <c r="H1" s="1488"/>
      <c r="I1" s="1488"/>
      <c r="J1" s="1488"/>
      <c r="K1" s="1488"/>
      <c r="L1" s="1146" t="s">
        <v>1789</v>
      </c>
    </row>
    <row r="2" spans="1:12" ht="44.25" customHeight="1" x14ac:dyDescent="0.25">
      <c r="A2" s="1529"/>
      <c r="B2" s="1488"/>
      <c r="C2" s="1488"/>
      <c r="D2" s="1488"/>
      <c r="E2" s="1488"/>
      <c r="F2" s="1488"/>
      <c r="G2" s="1488"/>
      <c r="H2" s="1488"/>
      <c r="I2" s="1488"/>
      <c r="J2" s="1488"/>
      <c r="K2" s="1488"/>
      <c r="L2" s="1147" t="s">
        <v>1791</v>
      </c>
    </row>
    <row r="3" spans="1:12" x14ac:dyDescent="0.25">
      <c r="I3" s="457"/>
    </row>
    <row r="4" spans="1:12" s="2187" customFormat="1" x14ac:dyDescent="0.2">
      <c r="A4" s="458" t="s">
        <v>118</v>
      </c>
      <c r="B4" s="2186" t="str">
        <f>+'ANALÍTICA ESTADO SITUACIÓN F'!C6</f>
        <v xml:space="preserve">130000 - DIRECCIÓN SECTOR HÁBITAT Y AMBIENTE </v>
      </c>
      <c r="C4" s="2186"/>
      <c r="D4" s="2186"/>
      <c r="E4" s="2186"/>
      <c r="H4" s="2188"/>
    </row>
    <row r="5" spans="1:12" s="2187" customFormat="1" x14ac:dyDescent="0.25">
      <c r="A5" s="458" t="s">
        <v>1</v>
      </c>
      <c r="B5" s="2189" t="str">
        <f>+'ANALÍTICA ESTADO SITUACIÓN F'!C7</f>
        <v>208 - Caja de Vivienda Popular – CVP</v>
      </c>
      <c r="C5" s="2190"/>
      <c r="D5" s="1270" t="s">
        <v>2</v>
      </c>
      <c r="E5" s="2191">
        <f>+'ANALÍTICA ESTADO SITUACIÓN F'!H7</f>
        <v>2023</v>
      </c>
      <c r="H5" s="2188"/>
    </row>
    <row r="6" spans="1:12" s="2187" customFormat="1" x14ac:dyDescent="0.25">
      <c r="A6" s="458" t="s">
        <v>1781</v>
      </c>
      <c r="B6" s="2189">
        <f>+'ANALÍTICA ESTADO SITUACIÓN F'!C8</f>
        <v>2025</v>
      </c>
      <c r="C6" s="2190"/>
      <c r="D6" s="1270" t="s">
        <v>705</v>
      </c>
      <c r="E6" s="2191">
        <f>+'ANALÍTICA ESTADO SITUACIÓN F'!H8</f>
        <v>55</v>
      </c>
      <c r="H6" s="2188"/>
      <c r="I6" s="2188"/>
    </row>
    <row r="7" spans="1:12" x14ac:dyDescent="0.2">
      <c r="B7" s="10"/>
      <c r="C7" s="1530"/>
      <c r="D7" s="1530"/>
      <c r="E7" s="252"/>
      <c r="F7" s="461"/>
    </row>
    <row r="8" spans="1:12" ht="168.75" customHeight="1" x14ac:dyDescent="0.25">
      <c r="A8" s="2192" t="s">
        <v>914</v>
      </c>
      <c r="B8" s="2192"/>
      <c r="C8" s="2192"/>
      <c r="D8" s="2192"/>
      <c r="E8" s="2192"/>
      <c r="F8" s="2192"/>
      <c r="G8" s="2192"/>
      <c r="H8" s="2192"/>
    </row>
    <row r="9" spans="1:12" ht="15.75" thickBot="1" x14ac:dyDescent="0.25">
      <c r="A9" s="2187"/>
      <c r="B9" s="10"/>
      <c r="C9" s="2193"/>
      <c r="D9" s="2193"/>
      <c r="E9" s="1288"/>
      <c r="F9" s="461"/>
      <c r="G9" s="2187"/>
      <c r="H9" s="2188"/>
    </row>
    <row r="10" spans="1:12" ht="24" thickBot="1" x14ac:dyDescent="0.3">
      <c r="A10" s="2194" t="s">
        <v>915</v>
      </c>
      <c r="B10" s="2195"/>
      <c r="C10" s="2195"/>
      <c r="D10" s="2195"/>
      <c r="E10" s="2196"/>
      <c r="F10" s="2195"/>
      <c r="G10" s="2195"/>
      <c r="H10" s="2197"/>
      <c r="J10" s="459"/>
      <c r="K10" s="459"/>
    </row>
    <row r="11" spans="1:12" ht="47.25" x14ac:dyDescent="0.25">
      <c r="A11" s="2198" t="s">
        <v>916</v>
      </c>
      <c r="B11" s="2198" t="s">
        <v>917</v>
      </c>
      <c r="C11" s="2199" t="s">
        <v>918</v>
      </c>
      <c r="D11" s="2200" t="s">
        <v>649</v>
      </c>
      <c r="E11" s="2201" t="s">
        <v>919</v>
      </c>
      <c r="F11" s="2202"/>
      <c r="G11" s="2203"/>
      <c r="H11" s="2188"/>
      <c r="J11" s="459"/>
      <c r="K11" s="459"/>
    </row>
    <row r="12" spans="1:12" ht="15.75" x14ac:dyDescent="0.25">
      <c r="A12" s="463" t="s">
        <v>920</v>
      </c>
      <c r="B12" s="464">
        <f>C79</f>
        <v>9809408852000</v>
      </c>
      <c r="C12" s="465">
        <v>17000000000000</v>
      </c>
      <c r="D12" s="2204">
        <f>D79</f>
        <v>10146571552162</v>
      </c>
      <c r="E12" s="964">
        <f>D12/C12</f>
        <v>0.59685715012717644</v>
      </c>
      <c r="F12" s="462"/>
      <c r="G12" s="466"/>
      <c r="I12" s="467"/>
      <c r="J12" s="467"/>
      <c r="K12" s="467"/>
    </row>
    <row r="13" spans="1:12" ht="15.75" x14ac:dyDescent="0.25">
      <c r="A13" s="463" t="s">
        <v>921</v>
      </c>
      <c r="B13" s="464">
        <f>+C122</f>
        <v>9809408852000</v>
      </c>
      <c r="C13" s="465">
        <v>18111111111100</v>
      </c>
      <c r="D13" s="2204">
        <f>D122</f>
        <v>1821154860581</v>
      </c>
      <c r="E13" s="964">
        <f>D13/C13</f>
        <v>0.10055456285422733</v>
      </c>
      <c r="F13" s="462"/>
      <c r="G13" s="466"/>
      <c r="I13" s="467"/>
      <c r="J13" s="467"/>
      <c r="K13" s="467"/>
    </row>
    <row r="14" spans="1:12" ht="15.75" x14ac:dyDescent="0.25">
      <c r="A14" s="468" t="s">
        <v>922</v>
      </c>
      <c r="B14" s="469">
        <v>5000</v>
      </c>
      <c r="C14" s="470">
        <v>4000</v>
      </c>
      <c r="D14" s="471">
        <v>3000</v>
      </c>
      <c r="E14" s="964">
        <f>IF(D14="","",D14/C14)</f>
        <v>0.75</v>
      </c>
      <c r="F14" s="462"/>
      <c r="G14" s="466"/>
      <c r="I14" s="467"/>
      <c r="J14" s="467"/>
      <c r="K14" s="467"/>
    </row>
    <row r="15" spans="1:12" ht="15.75" x14ac:dyDescent="0.25">
      <c r="A15" s="463" t="s">
        <v>923</v>
      </c>
      <c r="B15" s="472">
        <v>5000</v>
      </c>
      <c r="C15" s="470">
        <v>4000</v>
      </c>
      <c r="D15" s="471">
        <v>2000</v>
      </c>
      <c r="E15" s="964">
        <f>IF(D15="","",D15/C15)</f>
        <v>0.5</v>
      </c>
      <c r="G15" s="466"/>
      <c r="I15" s="467"/>
      <c r="J15" s="467"/>
      <c r="K15" s="467"/>
    </row>
    <row r="16" spans="1:12" ht="15.75" x14ac:dyDescent="0.25">
      <c r="A16" s="473"/>
      <c r="B16" s="474"/>
      <c r="C16" s="475"/>
      <c r="D16" s="476"/>
      <c r="E16" s="477"/>
      <c r="G16" s="466"/>
      <c r="I16" s="467"/>
      <c r="J16" s="467"/>
      <c r="K16" s="467"/>
    </row>
    <row r="17" spans="1:12" ht="132" customHeight="1" x14ac:dyDescent="0.25">
      <c r="A17" s="1531" t="s">
        <v>924</v>
      </c>
      <c r="B17" s="1531"/>
      <c r="C17" s="1531"/>
      <c r="D17" s="1531"/>
      <c r="E17" s="1531"/>
      <c r="F17" s="1531"/>
      <c r="G17" s="466"/>
      <c r="I17" s="467"/>
      <c r="J17" s="467"/>
      <c r="K17" s="467"/>
    </row>
    <row r="18" spans="1:12" x14ac:dyDescent="0.25">
      <c r="A18" s="478"/>
      <c r="B18" s="479"/>
      <c r="C18" s="479"/>
      <c r="D18" s="480"/>
      <c r="E18" s="480"/>
      <c r="F18" s="480"/>
      <c r="G18" s="480"/>
      <c r="H18" s="467"/>
      <c r="I18" s="467"/>
      <c r="J18" s="467"/>
      <c r="K18" s="467"/>
    </row>
    <row r="19" spans="1:12" ht="38.25" customHeight="1" x14ac:dyDescent="0.25">
      <c r="A19" s="1532" t="s">
        <v>925</v>
      </c>
      <c r="B19" s="1533"/>
      <c r="C19" s="1533"/>
      <c r="D19" s="1533"/>
      <c r="E19" s="1533"/>
      <c r="F19" s="1533"/>
      <c r="G19" s="1533"/>
      <c r="H19" s="1533"/>
      <c r="I19" s="1533"/>
      <c r="J19" s="1533"/>
      <c r="K19" s="1533"/>
      <c r="L19" s="1534"/>
    </row>
    <row r="20" spans="1:12" ht="18.399999999999999" customHeight="1" x14ac:dyDescent="0.25">
      <c r="A20" s="1535" t="s">
        <v>926</v>
      </c>
      <c r="B20" s="1536"/>
      <c r="C20" s="1536"/>
      <c r="D20" s="1536"/>
      <c r="E20" s="1536"/>
      <c r="F20" s="1536"/>
      <c r="G20" s="1536"/>
      <c r="H20" s="1536"/>
      <c r="I20" s="1536"/>
      <c r="J20" s="1536"/>
      <c r="K20" s="1536"/>
      <c r="L20" s="1537"/>
    </row>
    <row r="21" spans="1:12" ht="22.5" customHeight="1" thickBot="1" x14ac:dyDescent="0.3">
      <c r="A21" s="1538" t="s">
        <v>927</v>
      </c>
      <c r="B21" s="1539"/>
      <c r="C21" s="1539"/>
      <c r="D21" s="1539"/>
      <c r="E21" s="1540"/>
      <c r="F21" s="1540"/>
      <c r="G21" s="1540"/>
      <c r="H21" s="481" t="s">
        <v>928</v>
      </c>
      <c r="I21" s="482"/>
      <c r="J21" s="482"/>
      <c r="K21" s="482"/>
      <c r="L21" s="483"/>
    </row>
    <row r="22" spans="1:12" ht="17.25" customHeight="1" thickTop="1" thickBot="1" x14ac:dyDescent="0.3">
      <c r="A22" s="1541" t="s">
        <v>929</v>
      </c>
      <c r="B22" s="1542"/>
      <c r="C22" s="1542"/>
      <c r="D22" s="1543"/>
      <c r="E22" s="1544" t="s">
        <v>930</v>
      </c>
      <c r="F22" s="1542"/>
      <c r="G22" s="1542"/>
      <c r="H22" s="1542"/>
      <c r="I22" s="1545"/>
      <c r="J22" s="484"/>
      <c r="K22" s="484"/>
      <c r="L22" s="485"/>
    </row>
    <row r="23" spans="1:12" ht="75.75" customHeight="1" thickTop="1" x14ac:dyDescent="0.25">
      <c r="A23" s="486" t="s">
        <v>931</v>
      </c>
      <c r="B23" s="487" t="s">
        <v>932</v>
      </c>
      <c r="C23" s="487" t="s">
        <v>933</v>
      </c>
      <c r="D23" s="487" t="s">
        <v>934</v>
      </c>
      <c r="E23" s="487" t="s">
        <v>935</v>
      </c>
      <c r="F23" s="487" t="s">
        <v>936</v>
      </c>
      <c r="G23" s="488" t="s">
        <v>937</v>
      </c>
      <c r="H23" s="489" t="s">
        <v>938</v>
      </c>
      <c r="I23" s="489" t="s">
        <v>939</v>
      </c>
      <c r="J23" s="489" t="s">
        <v>940</v>
      </c>
      <c r="K23" s="489" t="s">
        <v>941</v>
      </c>
      <c r="L23" s="490" t="s">
        <v>942</v>
      </c>
    </row>
    <row r="24" spans="1:12" ht="20.25" customHeight="1" x14ac:dyDescent="0.25">
      <c r="A24" s="491">
        <v>1110</v>
      </c>
      <c r="B24" s="492" t="s">
        <v>943</v>
      </c>
      <c r="C24" s="493">
        <v>356464430440</v>
      </c>
      <c r="D24" s="493">
        <v>356464430440</v>
      </c>
      <c r="E24" s="493"/>
      <c r="F24" s="493"/>
      <c r="G24" s="494">
        <f t="shared" ref="G24:G78" si="0">+E24+F24</f>
        <v>0</v>
      </c>
      <c r="H24" s="495"/>
      <c r="I24" s="496">
        <f t="shared" ref="I24:I78" si="1">G24+H24</f>
        <v>0</v>
      </c>
      <c r="J24" s="497"/>
      <c r="K24" s="497" t="s">
        <v>944</v>
      </c>
      <c r="L24" s="498"/>
    </row>
    <row r="25" spans="1:12" ht="20.25" customHeight="1" x14ac:dyDescent="0.25">
      <c r="A25" s="491">
        <v>1132</v>
      </c>
      <c r="B25" s="492" t="s">
        <v>945</v>
      </c>
      <c r="C25" s="493">
        <v>519962196288</v>
      </c>
      <c r="D25" s="493">
        <v>519962196288</v>
      </c>
      <c r="E25" s="493"/>
      <c r="F25" s="493"/>
      <c r="G25" s="494">
        <f t="shared" si="0"/>
        <v>0</v>
      </c>
      <c r="H25" s="495"/>
      <c r="I25" s="496">
        <f t="shared" si="1"/>
        <v>0</v>
      </c>
      <c r="J25" s="497"/>
      <c r="K25" s="497"/>
      <c r="L25" s="498"/>
    </row>
    <row r="26" spans="1:12" ht="20.25" customHeight="1" x14ac:dyDescent="0.25">
      <c r="A26" s="491">
        <v>1221</v>
      </c>
      <c r="B26" s="492" t="s">
        <v>946</v>
      </c>
      <c r="C26" s="493">
        <v>449610044736</v>
      </c>
      <c r="D26" s="493">
        <v>449610044736</v>
      </c>
      <c r="E26" s="493"/>
      <c r="F26" s="493"/>
      <c r="G26" s="494">
        <f t="shared" si="0"/>
        <v>0</v>
      </c>
      <c r="H26" s="495"/>
      <c r="I26" s="496">
        <f t="shared" si="1"/>
        <v>0</v>
      </c>
      <c r="J26" s="497"/>
      <c r="K26" s="497"/>
      <c r="L26" s="498"/>
    </row>
    <row r="27" spans="1:12" ht="20.25" customHeight="1" x14ac:dyDescent="0.25">
      <c r="A27" s="491">
        <v>1222</v>
      </c>
      <c r="B27" s="492" t="s">
        <v>946</v>
      </c>
      <c r="C27" s="493">
        <v>3001440324</v>
      </c>
      <c r="D27" s="493">
        <v>3001440324</v>
      </c>
      <c r="E27" s="493"/>
      <c r="F27" s="493"/>
      <c r="G27" s="494">
        <f t="shared" si="0"/>
        <v>0</v>
      </c>
      <c r="H27" s="495"/>
      <c r="I27" s="496">
        <f t="shared" si="1"/>
        <v>0</v>
      </c>
      <c r="J27" s="497"/>
      <c r="K27" s="497"/>
      <c r="L27" s="498"/>
    </row>
    <row r="28" spans="1:12" ht="20.25" customHeight="1" x14ac:dyDescent="0.25">
      <c r="A28" s="491">
        <v>1224</v>
      </c>
      <c r="B28" s="492" t="s">
        <v>947</v>
      </c>
      <c r="C28" s="493">
        <v>540094304</v>
      </c>
      <c r="D28" s="493">
        <v>540094304</v>
      </c>
      <c r="E28" s="493"/>
      <c r="F28" s="493"/>
      <c r="G28" s="494">
        <f t="shared" si="0"/>
        <v>0</v>
      </c>
      <c r="H28" s="495"/>
      <c r="I28" s="496">
        <f t="shared" si="1"/>
        <v>0</v>
      </c>
      <c r="J28" s="497"/>
      <c r="K28" s="497"/>
      <c r="L28" s="498"/>
    </row>
    <row r="29" spans="1:12" ht="20.25" customHeight="1" x14ac:dyDescent="0.25">
      <c r="A29" s="491">
        <v>1227</v>
      </c>
      <c r="B29" s="492" t="s">
        <v>948</v>
      </c>
      <c r="C29" s="493">
        <v>15087728166</v>
      </c>
      <c r="D29" s="493">
        <v>15087728166</v>
      </c>
      <c r="E29" s="493"/>
      <c r="F29" s="493"/>
      <c r="G29" s="494">
        <f t="shared" si="0"/>
        <v>0</v>
      </c>
      <c r="H29" s="495"/>
      <c r="I29" s="496">
        <f t="shared" si="1"/>
        <v>0</v>
      </c>
      <c r="J29" s="497"/>
      <c r="K29" s="497"/>
      <c r="L29" s="498"/>
    </row>
    <row r="30" spans="1:12" ht="20.25" customHeight="1" x14ac:dyDescent="0.25">
      <c r="A30" s="491">
        <v>1280</v>
      </c>
      <c r="B30" s="492" t="s">
        <v>949</v>
      </c>
      <c r="C30" s="493">
        <v>-15087728166</v>
      </c>
      <c r="D30" s="499">
        <v>15087728166</v>
      </c>
      <c r="E30" s="493"/>
      <c r="F30" s="493"/>
      <c r="G30" s="494">
        <f t="shared" si="0"/>
        <v>0</v>
      </c>
      <c r="H30" s="495"/>
      <c r="I30" s="496">
        <f t="shared" si="1"/>
        <v>0</v>
      </c>
      <c r="J30" s="497"/>
      <c r="K30" s="497"/>
      <c r="L30" s="498"/>
    </row>
    <row r="31" spans="1:12" ht="20.25" customHeight="1" x14ac:dyDescent="0.25">
      <c r="A31" s="491">
        <v>1317</v>
      </c>
      <c r="B31" s="492" t="s">
        <v>950</v>
      </c>
      <c r="C31" s="493">
        <v>3120040162</v>
      </c>
      <c r="D31" s="493"/>
      <c r="E31" s="493"/>
      <c r="F31" s="493"/>
      <c r="G31" s="494">
        <f t="shared" si="0"/>
        <v>0</v>
      </c>
      <c r="H31" s="495"/>
      <c r="I31" s="496">
        <f t="shared" si="1"/>
        <v>0</v>
      </c>
      <c r="J31" s="497"/>
      <c r="K31" s="497"/>
      <c r="L31" s="498"/>
    </row>
    <row r="32" spans="1:12" ht="20.25" customHeight="1" x14ac:dyDescent="0.25">
      <c r="A32" s="491">
        <v>1318</v>
      </c>
      <c r="B32" s="492" t="s">
        <v>951</v>
      </c>
      <c r="C32" s="493">
        <v>481613245240</v>
      </c>
      <c r="D32" s="493"/>
      <c r="E32" s="493"/>
      <c r="F32" s="493"/>
      <c r="G32" s="494">
        <f t="shared" si="0"/>
        <v>0</v>
      </c>
      <c r="H32" s="495"/>
      <c r="I32" s="496">
        <f t="shared" si="1"/>
        <v>0</v>
      </c>
      <c r="J32" s="497"/>
      <c r="K32" s="497"/>
      <c r="L32" s="498"/>
    </row>
    <row r="33" spans="1:12" ht="20.25" customHeight="1" x14ac:dyDescent="0.25">
      <c r="A33" s="491">
        <v>1384</v>
      </c>
      <c r="B33" s="492" t="s">
        <v>952</v>
      </c>
      <c r="C33" s="493">
        <v>12697168660</v>
      </c>
      <c r="D33" s="493">
        <v>12697168660</v>
      </c>
      <c r="E33" s="493"/>
      <c r="F33" s="493"/>
      <c r="G33" s="494">
        <f t="shared" si="0"/>
        <v>0</v>
      </c>
      <c r="H33" s="495"/>
      <c r="I33" s="496">
        <f t="shared" si="1"/>
        <v>0</v>
      </c>
      <c r="J33" s="497"/>
      <c r="K33" s="497"/>
      <c r="L33" s="498" t="s">
        <v>953</v>
      </c>
    </row>
    <row r="34" spans="1:12" ht="20.25" customHeight="1" x14ac:dyDescent="0.25">
      <c r="A34" s="491">
        <v>1385</v>
      </c>
      <c r="B34" s="492" t="s">
        <v>954</v>
      </c>
      <c r="C34" s="493">
        <v>28601784498</v>
      </c>
      <c r="D34" s="493">
        <v>28601784498</v>
      </c>
      <c r="E34" s="493"/>
      <c r="F34" s="493"/>
      <c r="G34" s="494">
        <f t="shared" si="0"/>
        <v>0</v>
      </c>
      <c r="H34" s="495"/>
      <c r="I34" s="496">
        <f t="shared" si="1"/>
        <v>0</v>
      </c>
      <c r="J34" s="497"/>
      <c r="K34" s="497"/>
      <c r="L34" s="498"/>
    </row>
    <row r="35" spans="1:12" ht="27.75" customHeight="1" x14ac:dyDescent="0.25">
      <c r="A35" s="491">
        <v>1386</v>
      </c>
      <c r="B35" s="492" t="s">
        <v>955</v>
      </c>
      <c r="C35" s="500">
        <v>-101724837569</v>
      </c>
      <c r="D35" s="500">
        <v>101724837569</v>
      </c>
      <c r="E35" s="493"/>
      <c r="F35" s="493"/>
      <c r="G35" s="494">
        <f t="shared" si="0"/>
        <v>0</v>
      </c>
      <c r="H35" s="495"/>
      <c r="I35" s="496">
        <f t="shared" si="1"/>
        <v>0</v>
      </c>
      <c r="J35" s="497"/>
      <c r="K35" s="497"/>
      <c r="L35" s="498"/>
    </row>
    <row r="36" spans="1:12" ht="20.25" customHeight="1" x14ac:dyDescent="0.25">
      <c r="A36" s="491">
        <v>138690</v>
      </c>
      <c r="B36" s="492" t="s">
        <v>956</v>
      </c>
      <c r="C36" s="500">
        <v>-3715369218</v>
      </c>
      <c r="D36" s="499">
        <v>3715369218</v>
      </c>
      <c r="E36" s="493"/>
      <c r="F36" s="493"/>
      <c r="G36" s="494">
        <f t="shared" si="0"/>
        <v>0</v>
      </c>
      <c r="H36" s="495"/>
      <c r="I36" s="496">
        <f t="shared" si="1"/>
        <v>0</v>
      </c>
      <c r="J36" s="497"/>
      <c r="K36" s="497"/>
      <c r="L36" s="498"/>
    </row>
    <row r="37" spans="1:12" ht="20.25" customHeight="1" x14ac:dyDescent="0.25">
      <c r="A37" s="491">
        <v>1415</v>
      </c>
      <c r="B37" s="492" t="s">
        <v>957</v>
      </c>
      <c r="C37" s="493">
        <v>47861190051</v>
      </c>
      <c r="D37" s="493"/>
      <c r="E37" s="493"/>
      <c r="F37" s="493"/>
      <c r="G37" s="494">
        <f t="shared" si="0"/>
        <v>0</v>
      </c>
      <c r="H37" s="495"/>
      <c r="I37" s="496">
        <f t="shared" si="1"/>
        <v>0</v>
      </c>
      <c r="J37" s="497"/>
      <c r="K37" s="497"/>
      <c r="L37" s="498"/>
    </row>
    <row r="38" spans="1:12" ht="20.25" customHeight="1" x14ac:dyDescent="0.25">
      <c r="A38" s="491">
        <v>1480</v>
      </c>
      <c r="B38" s="492" t="s">
        <v>958</v>
      </c>
      <c r="C38" s="493">
        <v>-750913131</v>
      </c>
      <c r="D38" s="493">
        <v>750913131</v>
      </c>
      <c r="E38" s="493"/>
      <c r="F38" s="493"/>
      <c r="G38" s="494">
        <f t="shared" si="0"/>
        <v>0</v>
      </c>
      <c r="H38" s="495"/>
      <c r="I38" s="496">
        <f t="shared" si="1"/>
        <v>0</v>
      </c>
      <c r="J38" s="497"/>
      <c r="K38" s="497"/>
      <c r="L38" s="498"/>
    </row>
    <row r="39" spans="1:12" ht="20.25" customHeight="1" x14ac:dyDescent="0.25">
      <c r="A39" s="491">
        <v>1510</v>
      </c>
      <c r="B39" s="492" t="s">
        <v>959</v>
      </c>
      <c r="C39" s="493">
        <v>2911997929</v>
      </c>
      <c r="D39" s="493"/>
      <c r="E39" s="493"/>
      <c r="F39" s="493"/>
      <c r="G39" s="494">
        <f t="shared" si="0"/>
        <v>0</v>
      </c>
      <c r="H39" s="495"/>
      <c r="I39" s="496">
        <f t="shared" si="1"/>
        <v>0</v>
      </c>
      <c r="J39" s="497"/>
      <c r="K39" s="497"/>
      <c r="L39" s="498"/>
    </row>
    <row r="40" spans="1:12" ht="20.25" customHeight="1" x14ac:dyDescent="0.25">
      <c r="A40" s="491">
        <v>1514</v>
      </c>
      <c r="B40" s="492" t="s">
        <v>960</v>
      </c>
      <c r="C40" s="493">
        <v>32972012086</v>
      </c>
      <c r="D40" s="493">
        <v>32972012086</v>
      </c>
      <c r="E40" s="493"/>
      <c r="F40" s="493"/>
      <c r="G40" s="494">
        <f t="shared" si="0"/>
        <v>0</v>
      </c>
      <c r="H40" s="495"/>
      <c r="I40" s="496">
        <f t="shared" si="1"/>
        <v>0</v>
      </c>
      <c r="J40" s="497"/>
      <c r="K40" s="497"/>
      <c r="L40" s="498"/>
    </row>
    <row r="41" spans="1:12" ht="20.25" customHeight="1" x14ac:dyDescent="0.25">
      <c r="A41" s="491">
        <v>1580</v>
      </c>
      <c r="B41" s="492" t="s">
        <v>961</v>
      </c>
      <c r="C41" s="493">
        <v>-82630187</v>
      </c>
      <c r="D41" s="493">
        <v>82630187</v>
      </c>
      <c r="E41" s="493"/>
      <c r="F41" s="493"/>
      <c r="G41" s="494">
        <f t="shared" si="0"/>
        <v>0</v>
      </c>
      <c r="H41" s="495"/>
      <c r="I41" s="496">
        <f t="shared" si="1"/>
        <v>0</v>
      </c>
      <c r="J41" s="497"/>
      <c r="K41" s="497"/>
      <c r="L41" s="498"/>
    </row>
    <row r="42" spans="1:12" ht="20.25" customHeight="1" x14ac:dyDescent="0.25">
      <c r="A42" s="491">
        <v>158013</v>
      </c>
      <c r="B42" s="492" t="s">
        <v>962</v>
      </c>
      <c r="C42" s="493">
        <v>-262809861</v>
      </c>
      <c r="D42" s="499">
        <v>262809861</v>
      </c>
      <c r="E42" s="493"/>
      <c r="F42" s="493"/>
      <c r="G42" s="494">
        <f t="shared" si="0"/>
        <v>0</v>
      </c>
      <c r="H42" s="495"/>
      <c r="I42" s="496">
        <f t="shared" si="1"/>
        <v>0</v>
      </c>
      <c r="J42" s="497"/>
      <c r="K42" s="497"/>
      <c r="L42" s="498"/>
    </row>
    <row r="43" spans="1:12" ht="20.25" customHeight="1" x14ac:dyDescent="0.25">
      <c r="A43" s="491">
        <v>1605</v>
      </c>
      <c r="B43" s="492" t="s">
        <v>963</v>
      </c>
      <c r="C43" s="493">
        <v>512350164468</v>
      </c>
      <c r="D43" s="493">
        <v>512350164468</v>
      </c>
      <c r="E43" s="493"/>
      <c r="F43" s="493"/>
      <c r="G43" s="494">
        <f t="shared" si="0"/>
        <v>0</v>
      </c>
      <c r="H43" s="495"/>
      <c r="I43" s="496">
        <f t="shared" si="1"/>
        <v>0</v>
      </c>
      <c r="J43" s="497"/>
      <c r="K43" s="497"/>
      <c r="L43" s="498" t="s">
        <v>964</v>
      </c>
    </row>
    <row r="44" spans="1:12" ht="20.25" customHeight="1" x14ac:dyDescent="0.25">
      <c r="A44" s="491">
        <v>1610</v>
      </c>
      <c r="B44" s="492" t="s">
        <v>965</v>
      </c>
      <c r="C44" s="493">
        <v>12113845</v>
      </c>
      <c r="D44" s="493"/>
      <c r="E44" s="493"/>
      <c r="F44" s="493"/>
      <c r="G44" s="494">
        <f t="shared" si="0"/>
        <v>0</v>
      </c>
      <c r="H44" s="495"/>
      <c r="I44" s="496">
        <f t="shared" si="1"/>
        <v>0</v>
      </c>
      <c r="J44" s="497"/>
      <c r="K44" s="497"/>
      <c r="L44" s="498"/>
    </row>
    <row r="45" spans="1:12" ht="20.25" customHeight="1" x14ac:dyDescent="0.25">
      <c r="A45" s="491">
        <v>1615</v>
      </c>
      <c r="B45" s="492" t="s">
        <v>966</v>
      </c>
      <c r="C45" s="493">
        <v>946735756836</v>
      </c>
      <c r="D45" s="493"/>
      <c r="E45" s="493"/>
      <c r="F45" s="493"/>
      <c r="G45" s="494">
        <f t="shared" si="0"/>
        <v>0</v>
      </c>
      <c r="H45" s="495"/>
      <c r="I45" s="496">
        <f t="shared" si="1"/>
        <v>0</v>
      </c>
      <c r="J45" s="497"/>
      <c r="K45" s="497"/>
      <c r="L45" s="498"/>
    </row>
    <row r="46" spans="1:12" ht="20.25" customHeight="1" x14ac:dyDescent="0.25">
      <c r="A46" s="491">
        <v>1620</v>
      </c>
      <c r="B46" s="492" t="s">
        <v>967</v>
      </c>
      <c r="C46" s="493">
        <v>437309509487</v>
      </c>
      <c r="D46" s="493"/>
      <c r="E46" s="493"/>
      <c r="F46" s="493"/>
      <c r="G46" s="494">
        <f t="shared" si="0"/>
        <v>0</v>
      </c>
      <c r="H46" s="495"/>
      <c r="I46" s="496">
        <f t="shared" si="1"/>
        <v>0</v>
      </c>
      <c r="J46" s="497"/>
      <c r="K46" s="497"/>
      <c r="L46" s="498"/>
    </row>
    <row r="47" spans="1:12" ht="20.25" customHeight="1" x14ac:dyDescent="0.25">
      <c r="A47" s="491">
        <v>1625</v>
      </c>
      <c r="B47" s="492" t="s">
        <v>968</v>
      </c>
      <c r="C47" s="493">
        <v>2048465203</v>
      </c>
      <c r="D47" s="493"/>
      <c r="E47" s="493"/>
      <c r="F47" s="493"/>
      <c r="G47" s="494">
        <f t="shared" si="0"/>
        <v>0</v>
      </c>
      <c r="H47" s="495"/>
      <c r="I47" s="496">
        <f t="shared" si="1"/>
        <v>0</v>
      </c>
      <c r="J47" s="497"/>
      <c r="K47" s="497"/>
      <c r="L47" s="498"/>
    </row>
    <row r="48" spans="1:12" ht="20.25" customHeight="1" x14ac:dyDescent="0.25">
      <c r="A48" s="491">
        <v>1637</v>
      </c>
      <c r="B48" s="492" t="s">
        <v>969</v>
      </c>
      <c r="C48" s="493">
        <v>57953825363</v>
      </c>
      <c r="D48" s="493">
        <v>57953825363</v>
      </c>
      <c r="E48" s="493"/>
      <c r="F48" s="493"/>
      <c r="G48" s="494">
        <f t="shared" si="0"/>
        <v>0</v>
      </c>
      <c r="H48" s="495"/>
      <c r="I48" s="496">
        <f t="shared" si="1"/>
        <v>0</v>
      </c>
      <c r="J48" s="497"/>
      <c r="K48" s="497"/>
      <c r="L48" s="498"/>
    </row>
    <row r="49" spans="1:12" ht="20.25" customHeight="1" x14ac:dyDescent="0.25">
      <c r="A49" s="491">
        <v>1640</v>
      </c>
      <c r="B49" s="492" t="s">
        <v>970</v>
      </c>
      <c r="C49" s="493">
        <v>151322323434</v>
      </c>
      <c r="D49" s="493"/>
      <c r="E49" s="493"/>
      <c r="F49" s="493"/>
      <c r="G49" s="494">
        <f t="shared" si="0"/>
        <v>0</v>
      </c>
      <c r="H49" s="495"/>
      <c r="I49" s="496">
        <f t="shared" si="1"/>
        <v>0</v>
      </c>
      <c r="J49" s="497"/>
      <c r="K49" s="497"/>
      <c r="L49" s="498"/>
    </row>
    <row r="50" spans="1:12" ht="20.25" customHeight="1" x14ac:dyDescent="0.25">
      <c r="A50" s="491">
        <v>1642</v>
      </c>
      <c r="B50" s="492" t="s">
        <v>971</v>
      </c>
      <c r="C50" s="493">
        <v>2355854643</v>
      </c>
      <c r="D50" s="493"/>
      <c r="E50" s="493"/>
      <c r="F50" s="493"/>
      <c r="G50" s="494">
        <f t="shared" si="0"/>
        <v>0</v>
      </c>
      <c r="H50" s="495"/>
      <c r="I50" s="496">
        <f t="shared" si="1"/>
        <v>0</v>
      </c>
      <c r="J50" s="497"/>
      <c r="K50" s="497"/>
      <c r="L50" s="498"/>
    </row>
    <row r="51" spans="1:12" ht="20.25" customHeight="1" x14ac:dyDescent="0.25">
      <c r="A51" s="491">
        <v>1645</v>
      </c>
      <c r="B51" s="492" t="s">
        <v>972</v>
      </c>
      <c r="C51" s="493">
        <v>1137493886912</v>
      </c>
      <c r="D51" s="493">
        <v>1137493886912</v>
      </c>
      <c r="E51" s="493"/>
      <c r="F51" s="493"/>
      <c r="G51" s="494">
        <f t="shared" si="0"/>
        <v>0</v>
      </c>
      <c r="H51" s="495"/>
      <c r="I51" s="496">
        <f t="shared" si="1"/>
        <v>0</v>
      </c>
      <c r="J51" s="497"/>
      <c r="K51" s="497"/>
      <c r="L51" s="498"/>
    </row>
    <row r="52" spans="1:12" ht="20.25" customHeight="1" x14ac:dyDescent="0.25">
      <c r="A52" s="491">
        <v>1650</v>
      </c>
      <c r="B52" s="492" t="s">
        <v>973</v>
      </c>
      <c r="C52" s="493">
        <v>4559496045997</v>
      </c>
      <c r="D52" s="493">
        <v>4559496045997</v>
      </c>
      <c r="E52" s="493"/>
      <c r="F52" s="493"/>
      <c r="G52" s="494">
        <f t="shared" si="0"/>
        <v>0</v>
      </c>
      <c r="H52" s="495"/>
      <c r="I52" s="496">
        <f t="shared" si="1"/>
        <v>0</v>
      </c>
      <c r="J52" s="497"/>
      <c r="K52" s="497"/>
      <c r="L52" s="498"/>
    </row>
    <row r="53" spans="1:12" ht="20.25" customHeight="1" x14ac:dyDescent="0.25">
      <c r="A53" s="491">
        <v>1655</v>
      </c>
      <c r="B53" s="492" t="s">
        <v>974</v>
      </c>
      <c r="C53" s="493">
        <v>70695251959</v>
      </c>
      <c r="D53" s="493"/>
      <c r="E53" s="493"/>
      <c r="F53" s="493"/>
      <c r="G53" s="494">
        <f t="shared" si="0"/>
        <v>0</v>
      </c>
      <c r="H53" s="495"/>
      <c r="I53" s="496">
        <f t="shared" si="1"/>
        <v>0</v>
      </c>
      <c r="J53" s="497"/>
      <c r="K53" s="497"/>
      <c r="L53" s="498"/>
    </row>
    <row r="54" spans="1:12" ht="20.25" customHeight="1" x14ac:dyDescent="0.25">
      <c r="A54" s="491">
        <v>1660</v>
      </c>
      <c r="B54" s="492" t="s">
        <v>975</v>
      </c>
      <c r="C54" s="493">
        <v>15280555351</v>
      </c>
      <c r="D54" s="493"/>
      <c r="E54" s="493"/>
      <c r="F54" s="493"/>
      <c r="G54" s="494">
        <f t="shared" si="0"/>
        <v>0</v>
      </c>
      <c r="H54" s="495"/>
      <c r="I54" s="496">
        <f t="shared" si="1"/>
        <v>0</v>
      </c>
      <c r="J54" s="497"/>
      <c r="K54" s="497"/>
      <c r="L54" s="498"/>
    </row>
    <row r="55" spans="1:12" ht="20.25" customHeight="1" x14ac:dyDescent="0.25">
      <c r="A55" s="491">
        <v>1665</v>
      </c>
      <c r="B55" s="492" t="s">
        <v>976</v>
      </c>
      <c r="C55" s="493">
        <v>9878464875</v>
      </c>
      <c r="D55" s="493"/>
      <c r="E55" s="493"/>
      <c r="F55" s="493"/>
      <c r="G55" s="494">
        <f t="shared" si="0"/>
        <v>0</v>
      </c>
      <c r="H55" s="495"/>
      <c r="I55" s="496">
        <f t="shared" si="1"/>
        <v>0</v>
      </c>
      <c r="J55" s="497"/>
      <c r="K55" s="497"/>
      <c r="L55" s="498"/>
    </row>
    <row r="56" spans="1:12" ht="20.25" customHeight="1" x14ac:dyDescent="0.25">
      <c r="A56" s="491">
        <v>1670</v>
      </c>
      <c r="B56" s="492" t="s">
        <v>977</v>
      </c>
      <c r="C56" s="493">
        <v>63901509256</v>
      </c>
      <c r="D56" s="493"/>
      <c r="E56" s="493"/>
      <c r="F56" s="493"/>
      <c r="G56" s="494">
        <f t="shared" si="0"/>
        <v>0</v>
      </c>
      <c r="H56" s="495"/>
      <c r="I56" s="496">
        <f t="shared" si="1"/>
        <v>0</v>
      </c>
      <c r="J56" s="497"/>
      <c r="K56" s="497"/>
      <c r="L56" s="498"/>
    </row>
    <row r="57" spans="1:12" ht="20.25" customHeight="1" x14ac:dyDescent="0.25">
      <c r="A57" s="491">
        <v>1675</v>
      </c>
      <c r="B57" s="492" t="s">
        <v>978</v>
      </c>
      <c r="C57" s="493">
        <v>89895208754</v>
      </c>
      <c r="D57" s="493"/>
      <c r="E57" s="493"/>
      <c r="F57" s="493"/>
      <c r="G57" s="494">
        <f t="shared" si="0"/>
        <v>0</v>
      </c>
      <c r="H57" s="495"/>
      <c r="I57" s="496">
        <f t="shared" si="1"/>
        <v>0</v>
      </c>
      <c r="J57" s="497"/>
      <c r="K57" s="497"/>
      <c r="L57" s="498"/>
    </row>
    <row r="58" spans="1:12" ht="20.25" customHeight="1" x14ac:dyDescent="0.25">
      <c r="A58" s="491">
        <v>1680</v>
      </c>
      <c r="B58" s="492" t="s">
        <v>979</v>
      </c>
      <c r="C58" s="493">
        <v>775747834</v>
      </c>
      <c r="D58" s="493"/>
      <c r="E58" s="493"/>
      <c r="F58" s="493"/>
      <c r="G58" s="494">
        <f t="shared" si="0"/>
        <v>0</v>
      </c>
      <c r="H58" s="495"/>
      <c r="I58" s="496">
        <f t="shared" si="1"/>
        <v>0</v>
      </c>
      <c r="J58" s="497"/>
      <c r="K58" s="497"/>
      <c r="L58" s="498"/>
    </row>
    <row r="59" spans="1:12" ht="20.25" customHeight="1" x14ac:dyDescent="0.25">
      <c r="A59" s="491">
        <v>1681</v>
      </c>
      <c r="B59" s="492" t="s">
        <v>980</v>
      </c>
      <c r="C59" s="493">
        <v>15000000</v>
      </c>
      <c r="D59" s="493"/>
      <c r="E59" s="493"/>
      <c r="F59" s="493"/>
      <c r="G59" s="494">
        <f t="shared" si="0"/>
        <v>0</v>
      </c>
      <c r="H59" s="495"/>
      <c r="I59" s="496">
        <f t="shared" si="1"/>
        <v>0</v>
      </c>
      <c r="J59" s="497"/>
      <c r="K59" s="497"/>
      <c r="L59" s="498"/>
    </row>
    <row r="60" spans="1:12" ht="20.25" customHeight="1" x14ac:dyDescent="0.25">
      <c r="A60" s="491">
        <v>1685</v>
      </c>
      <c r="B60" s="492" t="s">
        <v>981</v>
      </c>
      <c r="C60" s="493">
        <v>-575863293114</v>
      </c>
      <c r="D60" s="493">
        <v>575863293114</v>
      </c>
      <c r="E60" s="493"/>
      <c r="F60" s="493"/>
      <c r="G60" s="494">
        <f t="shared" si="0"/>
        <v>0</v>
      </c>
      <c r="H60" s="495"/>
      <c r="I60" s="496">
        <f t="shared" si="1"/>
        <v>0</v>
      </c>
      <c r="J60" s="497"/>
      <c r="K60" s="497"/>
      <c r="L60" s="498"/>
    </row>
    <row r="61" spans="1:12" ht="20.25" customHeight="1" x14ac:dyDescent="0.25">
      <c r="A61" s="491">
        <v>168503</v>
      </c>
      <c r="B61" s="492" t="s">
        <v>982</v>
      </c>
      <c r="C61" s="493">
        <v>-1247811070401</v>
      </c>
      <c r="D61" s="499">
        <v>1247811070401</v>
      </c>
      <c r="E61" s="493"/>
      <c r="F61" s="493"/>
      <c r="G61" s="494">
        <f t="shared" si="0"/>
        <v>0</v>
      </c>
      <c r="H61" s="495"/>
      <c r="I61" s="496">
        <f t="shared" si="1"/>
        <v>0</v>
      </c>
      <c r="J61" s="497"/>
      <c r="K61" s="497"/>
      <c r="L61" s="498"/>
    </row>
    <row r="62" spans="1:12" ht="20.25" customHeight="1" x14ac:dyDescent="0.25">
      <c r="A62" s="491">
        <v>168515</v>
      </c>
      <c r="B62" s="492" t="s">
        <v>983</v>
      </c>
      <c r="C62" s="493">
        <v>-41019028888</v>
      </c>
      <c r="D62" s="499">
        <v>41019028888</v>
      </c>
      <c r="E62" s="493"/>
      <c r="F62" s="493"/>
      <c r="G62" s="494">
        <f t="shared" si="0"/>
        <v>0</v>
      </c>
      <c r="H62" s="495"/>
      <c r="I62" s="496">
        <f t="shared" si="1"/>
        <v>0</v>
      </c>
      <c r="J62" s="497"/>
      <c r="K62" s="497"/>
      <c r="L62" s="498"/>
    </row>
    <row r="63" spans="1:12" ht="20.25" customHeight="1" x14ac:dyDescent="0.25">
      <c r="A63" s="491">
        <v>1695</v>
      </c>
      <c r="B63" s="492" t="s">
        <v>984</v>
      </c>
      <c r="C63" s="500"/>
      <c r="D63" s="493"/>
      <c r="E63" s="493"/>
      <c r="F63" s="493"/>
      <c r="G63" s="494">
        <f t="shared" si="0"/>
        <v>0</v>
      </c>
      <c r="H63" s="495"/>
      <c r="I63" s="496">
        <f t="shared" si="1"/>
        <v>0</v>
      </c>
      <c r="J63" s="497"/>
      <c r="K63" s="497"/>
      <c r="L63" s="498"/>
    </row>
    <row r="64" spans="1:12" ht="20.25" customHeight="1" x14ac:dyDescent="0.25">
      <c r="A64" s="491">
        <v>169505</v>
      </c>
      <c r="B64" s="492" t="s">
        <v>985</v>
      </c>
      <c r="C64" s="500">
        <v>-11087906246</v>
      </c>
      <c r="D64" s="493">
        <v>11087906246</v>
      </c>
      <c r="E64" s="493"/>
      <c r="F64" s="493"/>
      <c r="G64" s="494">
        <f t="shared" si="0"/>
        <v>0</v>
      </c>
      <c r="H64" s="495"/>
      <c r="I64" s="496">
        <f t="shared" si="1"/>
        <v>0</v>
      </c>
      <c r="J64" s="497"/>
      <c r="K64" s="497"/>
      <c r="L64" s="498"/>
    </row>
    <row r="65" spans="1:12" ht="20.25" customHeight="1" x14ac:dyDescent="0.25">
      <c r="A65" s="491">
        <v>169525</v>
      </c>
      <c r="B65" s="492" t="s">
        <v>986</v>
      </c>
      <c r="C65" s="500">
        <v>-10146962410</v>
      </c>
      <c r="D65" s="499">
        <v>10146962410</v>
      </c>
      <c r="E65" s="493"/>
      <c r="F65" s="493"/>
      <c r="G65" s="494">
        <f t="shared" si="0"/>
        <v>0</v>
      </c>
      <c r="H65" s="495"/>
      <c r="I65" s="496">
        <f t="shared" si="1"/>
        <v>0</v>
      </c>
      <c r="J65" s="497"/>
      <c r="K65" s="497"/>
      <c r="L65" s="498"/>
    </row>
    <row r="66" spans="1:12" ht="20.25" customHeight="1" x14ac:dyDescent="0.25">
      <c r="A66" s="491">
        <v>1904</v>
      </c>
      <c r="B66" s="492" t="s">
        <v>987</v>
      </c>
      <c r="C66" s="493">
        <v>1044467472035</v>
      </c>
      <c r="D66" s="493"/>
      <c r="E66" s="493"/>
      <c r="F66" s="493"/>
      <c r="G66" s="494">
        <f t="shared" si="0"/>
        <v>0</v>
      </c>
      <c r="H66" s="495"/>
      <c r="I66" s="496">
        <f t="shared" si="1"/>
        <v>0</v>
      </c>
      <c r="J66" s="497"/>
      <c r="K66" s="497"/>
      <c r="L66" s="498"/>
    </row>
    <row r="67" spans="1:12" ht="20.25" customHeight="1" x14ac:dyDescent="0.25">
      <c r="A67" s="491">
        <v>1905</v>
      </c>
      <c r="B67" s="492" t="s">
        <v>988</v>
      </c>
      <c r="C67" s="493">
        <v>40950639870</v>
      </c>
      <c r="D67" s="493"/>
      <c r="E67" s="493"/>
      <c r="F67" s="493"/>
      <c r="G67" s="494">
        <f t="shared" si="0"/>
        <v>0</v>
      </c>
      <c r="H67" s="495"/>
      <c r="I67" s="496">
        <f t="shared" si="1"/>
        <v>0</v>
      </c>
      <c r="J67" s="497"/>
      <c r="K67" s="497"/>
      <c r="L67" s="498"/>
    </row>
    <row r="68" spans="1:12" ht="20.25" customHeight="1" x14ac:dyDescent="0.25">
      <c r="A68" s="491">
        <v>1906</v>
      </c>
      <c r="B68" s="492" t="s">
        <v>989</v>
      </c>
      <c r="C68" s="493">
        <v>145437711833</v>
      </c>
      <c r="D68" s="493">
        <v>145437711833</v>
      </c>
      <c r="E68" s="493"/>
      <c r="F68" s="493"/>
      <c r="G68" s="494">
        <f t="shared" si="0"/>
        <v>0</v>
      </c>
      <c r="H68" s="495"/>
      <c r="I68" s="496">
        <f t="shared" si="1"/>
        <v>0</v>
      </c>
      <c r="J68" s="497"/>
      <c r="K68" s="497"/>
      <c r="L68" s="498" t="s">
        <v>990</v>
      </c>
    </row>
    <row r="69" spans="1:12" ht="20.25" customHeight="1" x14ac:dyDescent="0.25">
      <c r="A69" s="491">
        <v>1907</v>
      </c>
      <c r="B69" s="501" t="s">
        <v>991</v>
      </c>
      <c r="C69" s="493">
        <v>144330062026</v>
      </c>
      <c r="D69" s="493"/>
      <c r="E69" s="493"/>
      <c r="F69" s="493"/>
      <c r="G69" s="494">
        <f t="shared" si="0"/>
        <v>0</v>
      </c>
      <c r="H69" s="495"/>
      <c r="I69" s="496">
        <f t="shared" si="1"/>
        <v>0</v>
      </c>
      <c r="J69" s="497"/>
      <c r="K69" s="497"/>
      <c r="L69" s="498"/>
    </row>
    <row r="70" spans="1:12" ht="27" customHeight="1" x14ac:dyDescent="0.25">
      <c r="A70" s="491">
        <v>1908</v>
      </c>
      <c r="B70" s="501" t="s">
        <v>992</v>
      </c>
      <c r="C70" s="502">
        <v>0</v>
      </c>
      <c r="D70" s="493"/>
      <c r="E70" s="493"/>
      <c r="F70" s="493"/>
      <c r="G70" s="494">
        <f t="shared" si="0"/>
        <v>0</v>
      </c>
      <c r="H70" s="495"/>
      <c r="I70" s="496">
        <f t="shared" si="1"/>
        <v>0</v>
      </c>
      <c r="J70" s="497"/>
      <c r="K70" s="497"/>
      <c r="L70" s="498"/>
    </row>
    <row r="71" spans="1:12" ht="27" customHeight="1" x14ac:dyDescent="0.25">
      <c r="A71" s="491">
        <v>190801</v>
      </c>
      <c r="B71" s="501" t="s">
        <v>993</v>
      </c>
      <c r="C71" s="502">
        <v>25841567978</v>
      </c>
      <c r="D71" s="493">
        <v>25841567978</v>
      </c>
      <c r="E71" s="493"/>
      <c r="F71" s="493"/>
      <c r="G71" s="494">
        <f t="shared" si="0"/>
        <v>0</v>
      </c>
      <c r="H71" s="495"/>
      <c r="I71" s="496">
        <f t="shared" si="1"/>
        <v>0</v>
      </c>
      <c r="J71" s="497" t="s">
        <v>994</v>
      </c>
      <c r="K71" s="497"/>
      <c r="L71" s="498" t="s">
        <v>995</v>
      </c>
    </row>
    <row r="72" spans="1:12" ht="27" customHeight="1" x14ac:dyDescent="0.25">
      <c r="A72" s="491">
        <v>190803</v>
      </c>
      <c r="B72" s="501" t="s">
        <v>996</v>
      </c>
      <c r="C72" s="493">
        <v>227893348084</v>
      </c>
      <c r="D72" s="493">
        <v>227893348084</v>
      </c>
      <c r="E72" s="493"/>
      <c r="F72" s="493"/>
      <c r="G72" s="494"/>
      <c r="H72" s="495"/>
      <c r="I72" s="496">
        <f t="shared" si="1"/>
        <v>0</v>
      </c>
      <c r="J72" s="497"/>
      <c r="K72" s="497"/>
      <c r="L72" s="498"/>
    </row>
    <row r="73" spans="1:12" ht="18" customHeight="1" x14ac:dyDescent="0.25">
      <c r="A73" s="491">
        <v>1909</v>
      </c>
      <c r="B73" s="501" t="s">
        <v>997</v>
      </c>
      <c r="C73" s="493">
        <v>11482653343</v>
      </c>
      <c r="D73" s="493"/>
      <c r="E73" s="493"/>
      <c r="F73" s="493"/>
      <c r="G73" s="494">
        <f t="shared" si="0"/>
        <v>0</v>
      </c>
      <c r="H73" s="495"/>
      <c r="I73" s="496">
        <f t="shared" si="1"/>
        <v>0</v>
      </c>
      <c r="J73" s="497"/>
      <c r="K73" s="497"/>
      <c r="L73" s="498"/>
    </row>
    <row r="74" spans="1:12" ht="18" customHeight="1" x14ac:dyDescent="0.25">
      <c r="A74" s="491">
        <v>1970</v>
      </c>
      <c r="B74" s="501" t="s">
        <v>998</v>
      </c>
      <c r="C74" s="493">
        <v>197752231210</v>
      </c>
      <c r="D74" s="493"/>
      <c r="E74" s="493"/>
      <c r="F74" s="493"/>
      <c r="G74" s="494">
        <f t="shared" si="0"/>
        <v>0</v>
      </c>
      <c r="H74" s="495"/>
      <c r="I74" s="496">
        <f t="shared" si="1"/>
        <v>0</v>
      </c>
      <c r="J74" s="497"/>
      <c r="K74" s="497"/>
      <c r="L74" s="498"/>
    </row>
    <row r="75" spans="1:12" ht="18" customHeight="1" x14ac:dyDescent="0.25">
      <c r="A75" s="491">
        <v>1975</v>
      </c>
      <c r="B75" s="492" t="s">
        <v>999</v>
      </c>
      <c r="C75" s="493">
        <v>-45652199713</v>
      </c>
      <c r="D75" s="493">
        <v>45652199713</v>
      </c>
      <c r="E75" s="493"/>
      <c r="F75" s="493"/>
      <c r="G75" s="494">
        <f t="shared" si="0"/>
        <v>0</v>
      </c>
      <c r="H75" s="495"/>
      <c r="I75" s="496">
        <f t="shared" si="1"/>
        <v>0</v>
      </c>
      <c r="J75" s="497" t="s">
        <v>1000</v>
      </c>
      <c r="K75" s="497"/>
      <c r="L75" s="498"/>
    </row>
    <row r="76" spans="1:12" ht="18" customHeight="1" x14ac:dyDescent="0.25">
      <c r="A76" s="491">
        <v>1976</v>
      </c>
      <c r="B76" s="501" t="s">
        <v>1001</v>
      </c>
      <c r="C76" s="493">
        <v>-7963353121</v>
      </c>
      <c r="D76" s="493">
        <v>7963353121</v>
      </c>
      <c r="E76" s="493"/>
      <c r="F76" s="493"/>
      <c r="G76" s="494">
        <f t="shared" si="0"/>
        <v>0</v>
      </c>
      <c r="H76" s="495"/>
      <c r="I76" s="496">
        <f t="shared" si="1"/>
        <v>0</v>
      </c>
      <c r="J76" s="497"/>
      <c r="K76" s="497"/>
      <c r="L76" s="498"/>
    </row>
    <row r="77" spans="1:12" ht="18" customHeight="1" x14ac:dyDescent="0.25">
      <c r="A77" s="491">
        <v>1985</v>
      </c>
      <c r="B77" s="501" t="s">
        <v>1002</v>
      </c>
      <c r="C77" s="493">
        <v>20458210545</v>
      </c>
      <c r="D77" s="493"/>
      <c r="E77" s="493"/>
      <c r="F77" s="493"/>
      <c r="G77" s="494">
        <f t="shared" si="0"/>
        <v>0</v>
      </c>
      <c r="H77" s="495"/>
      <c r="I77" s="496">
        <f t="shared" si="1"/>
        <v>0</v>
      </c>
      <c r="J77" s="497"/>
      <c r="K77" s="497"/>
      <c r="L77" s="498"/>
    </row>
    <row r="78" spans="1:12" ht="18" customHeight="1" x14ac:dyDescent="0.25">
      <c r="A78" s="491"/>
      <c r="B78" s="501"/>
      <c r="C78" s="493"/>
      <c r="D78" s="493"/>
      <c r="E78" s="493"/>
      <c r="F78" s="493"/>
      <c r="G78" s="494">
        <f t="shared" si="0"/>
        <v>0</v>
      </c>
      <c r="H78" s="495"/>
      <c r="I78" s="496">
        <f t="shared" si="1"/>
        <v>0</v>
      </c>
      <c r="J78" s="497"/>
      <c r="K78" s="497"/>
      <c r="L78" s="498"/>
    </row>
    <row r="79" spans="1:12" x14ac:dyDescent="0.25">
      <c r="A79" s="503"/>
      <c r="B79" s="504" t="s">
        <v>1003</v>
      </c>
      <c r="C79" s="505">
        <f t="shared" ref="C79:I79" si="2">SUM(C24:C78)</f>
        <v>9809408852000</v>
      </c>
      <c r="D79" s="505">
        <f t="shared" si="2"/>
        <v>10146571552162</v>
      </c>
      <c r="E79" s="505">
        <f t="shared" si="2"/>
        <v>0</v>
      </c>
      <c r="F79" s="505">
        <f t="shared" si="2"/>
        <v>0</v>
      </c>
      <c r="G79" s="506">
        <f t="shared" si="2"/>
        <v>0</v>
      </c>
      <c r="H79" s="507">
        <f t="shared" si="2"/>
        <v>0</v>
      </c>
      <c r="I79" s="507">
        <f t="shared" si="2"/>
        <v>0</v>
      </c>
      <c r="J79" s="507"/>
      <c r="K79" s="507"/>
      <c r="L79" s="498"/>
    </row>
    <row r="80" spans="1:12" ht="15.75" thickBot="1" x14ac:dyDescent="0.3">
      <c r="A80" s="503"/>
      <c r="B80" s="508" t="s">
        <v>1004</v>
      </c>
      <c r="C80" s="509"/>
      <c r="D80" s="510">
        <f>IF(D79&lt;=0,"",(D79/C79)*100)</f>
        <v>103.43713576678229</v>
      </c>
      <c r="E80" s="511"/>
      <c r="F80" s="511"/>
      <c r="G80" s="512">
        <f>IFERROR(IF(G79&lt;=0,0,+G79/$C$79),0)</f>
        <v>0</v>
      </c>
      <c r="H80" s="513">
        <f>IFERROR(IF(H79&lt;=0,0,+H79/C79),0)</f>
        <v>0</v>
      </c>
      <c r="I80" s="514">
        <f>IFERROR(IF(I79&lt;=0,0,I79/C79),0)</f>
        <v>0</v>
      </c>
      <c r="J80" s="515"/>
      <c r="K80" s="514"/>
      <c r="L80" s="498"/>
    </row>
    <row r="81" spans="1:12" ht="15.75" thickTop="1" x14ac:dyDescent="0.25">
      <c r="A81" s="503"/>
      <c r="B81" s="516"/>
      <c r="C81" s="516"/>
      <c r="D81" s="517"/>
      <c r="E81" s="516"/>
      <c r="F81" s="516"/>
      <c r="G81" s="518"/>
      <c r="H81" s="519"/>
      <c r="I81" s="520"/>
      <c r="J81" s="520"/>
      <c r="K81" s="520"/>
      <c r="L81" s="521"/>
    </row>
    <row r="82" spans="1:12" ht="93" customHeight="1" x14ac:dyDescent="0.25">
      <c r="A82" s="486" t="s">
        <v>931</v>
      </c>
      <c r="B82" s="522" t="s">
        <v>1005</v>
      </c>
      <c r="C82" s="487" t="s">
        <v>933</v>
      </c>
      <c r="D82" s="487" t="s">
        <v>934</v>
      </c>
      <c r="E82" s="487" t="s">
        <v>935</v>
      </c>
      <c r="F82" s="487" t="s">
        <v>936</v>
      </c>
      <c r="G82" s="522" t="s">
        <v>937</v>
      </c>
      <c r="H82" s="522" t="s">
        <v>938</v>
      </c>
      <c r="I82" s="522" t="s">
        <v>939</v>
      </c>
      <c r="J82" s="522" t="s">
        <v>940</v>
      </c>
      <c r="K82" s="522" t="s">
        <v>941</v>
      </c>
      <c r="L82" s="523" t="s">
        <v>942</v>
      </c>
    </row>
    <row r="83" spans="1:12" ht="24" customHeight="1" x14ac:dyDescent="0.25">
      <c r="A83" s="491">
        <v>2314</v>
      </c>
      <c r="B83" s="501" t="s">
        <v>1006</v>
      </c>
      <c r="C83" s="524">
        <v>136742246904</v>
      </c>
      <c r="D83" s="524">
        <f>+C83</f>
        <v>136742246904</v>
      </c>
      <c r="E83" s="524"/>
      <c r="F83" s="493"/>
      <c r="G83" s="494"/>
      <c r="H83" s="495"/>
      <c r="I83" s="525"/>
      <c r="J83" s="497"/>
      <c r="K83" s="497"/>
      <c r="L83" s="498"/>
    </row>
    <row r="84" spans="1:12" ht="24" customHeight="1" x14ac:dyDescent="0.25">
      <c r="A84" s="491">
        <v>2401</v>
      </c>
      <c r="B84" s="501" t="s">
        <v>1007</v>
      </c>
      <c r="C84" s="524">
        <v>15546222787</v>
      </c>
      <c r="D84" s="524"/>
      <c r="E84" s="524"/>
      <c r="F84" s="493"/>
      <c r="G84" s="494"/>
      <c r="H84" s="495"/>
      <c r="I84" s="525"/>
      <c r="J84" s="497"/>
      <c r="K84" s="497"/>
      <c r="L84" s="498"/>
    </row>
    <row r="85" spans="1:12" ht="24" customHeight="1" x14ac:dyDescent="0.25">
      <c r="A85" s="491">
        <v>2407</v>
      </c>
      <c r="B85" s="501" t="s">
        <v>1008</v>
      </c>
      <c r="C85" s="524">
        <v>37907305928</v>
      </c>
      <c r="D85" s="524"/>
      <c r="E85" s="524"/>
      <c r="F85" s="493"/>
      <c r="G85" s="494"/>
      <c r="H85" s="495"/>
      <c r="I85" s="525"/>
      <c r="J85" s="497"/>
      <c r="K85" s="497"/>
      <c r="L85" s="498"/>
    </row>
    <row r="86" spans="1:12" ht="24" customHeight="1" x14ac:dyDescent="0.25">
      <c r="A86" s="491">
        <v>2436</v>
      </c>
      <c r="B86" s="501" t="s">
        <v>1009</v>
      </c>
      <c r="C86" s="524">
        <v>13610952797</v>
      </c>
      <c r="D86" s="524"/>
      <c r="E86" s="524"/>
      <c r="F86" s="493"/>
      <c r="G86" s="494"/>
      <c r="H86" s="495"/>
      <c r="I86" s="525"/>
      <c r="J86" s="497"/>
      <c r="K86" s="497"/>
      <c r="L86" s="498"/>
    </row>
    <row r="87" spans="1:12" ht="24" customHeight="1" x14ac:dyDescent="0.25">
      <c r="A87" s="491">
        <v>2440</v>
      </c>
      <c r="B87" s="501" t="s">
        <v>1010</v>
      </c>
      <c r="C87" s="524">
        <v>208458300866</v>
      </c>
      <c r="D87" s="524"/>
      <c r="E87" s="524"/>
      <c r="F87" s="493"/>
      <c r="G87" s="494"/>
      <c r="H87" s="495"/>
      <c r="I87" s="525"/>
      <c r="J87" s="497"/>
      <c r="K87" s="497"/>
      <c r="L87" s="498"/>
    </row>
    <row r="88" spans="1:12" ht="24" customHeight="1" x14ac:dyDescent="0.25">
      <c r="A88" s="491">
        <v>2445</v>
      </c>
      <c r="B88" s="501" t="s">
        <v>1011</v>
      </c>
      <c r="C88" s="524">
        <v>407675903</v>
      </c>
      <c r="D88" s="524"/>
      <c r="E88" s="524"/>
      <c r="F88" s="493"/>
      <c r="G88" s="494"/>
      <c r="H88" s="495"/>
      <c r="I88" s="525"/>
      <c r="J88" s="497"/>
      <c r="K88" s="497"/>
      <c r="L88" s="498"/>
    </row>
    <row r="89" spans="1:12" ht="24" customHeight="1" x14ac:dyDescent="0.25">
      <c r="A89" s="491">
        <v>2490</v>
      </c>
      <c r="B89" s="501" t="s">
        <v>1012</v>
      </c>
      <c r="C89" s="524">
        <v>64991081269</v>
      </c>
      <c r="D89" s="524"/>
      <c r="E89" s="524"/>
      <c r="F89" s="493"/>
      <c r="G89" s="494"/>
      <c r="H89" s="495"/>
      <c r="I89" s="525"/>
      <c r="J89" s="497"/>
      <c r="K89" s="497"/>
      <c r="L89" s="498"/>
    </row>
    <row r="90" spans="1:12" ht="24" customHeight="1" x14ac:dyDescent="0.25">
      <c r="A90" s="491">
        <v>2511</v>
      </c>
      <c r="B90" s="501" t="s">
        <v>1013</v>
      </c>
      <c r="C90" s="524">
        <v>62069083425</v>
      </c>
      <c r="D90" s="524"/>
      <c r="E90" s="524"/>
      <c r="F90" s="493"/>
      <c r="G90" s="494"/>
      <c r="H90" s="495"/>
      <c r="I90" s="525"/>
      <c r="J90" s="497"/>
      <c r="K90" s="497"/>
      <c r="L90" s="498"/>
    </row>
    <row r="91" spans="1:12" ht="24" customHeight="1" x14ac:dyDescent="0.25">
      <c r="A91" s="491">
        <v>2512</v>
      </c>
      <c r="B91" s="501" t="s">
        <v>1014</v>
      </c>
      <c r="C91" s="524">
        <v>112517021105</v>
      </c>
      <c r="D91" s="524"/>
      <c r="E91" s="524"/>
      <c r="F91" s="493"/>
      <c r="G91" s="494"/>
      <c r="H91" s="495"/>
      <c r="I91" s="525"/>
      <c r="J91" s="497"/>
      <c r="K91" s="497"/>
      <c r="L91" s="498"/>
    </row>
    <row r="92" spans="1:12" ht="24" customHeight="1" x14ac:dyDescent="0.25">
      <c r="A92" s="491">
        <v>2514</v>
      </c>
      <c r="B92" s="501" t="s">
        <v>1015</v>
      </c>
      <c r="C92" s="524">
        <v>3080651136252</v>
      </c>
      <c r="D92" s="524"/>
      <c r="E92" s="524"/>
      <c r="F92" s="493"/>
      <c r="G92" s="494"/>
      <c r="H92" s="495"/>
      <c r="I92" s="525"/>
      <c r="J92" s="497"/>
      <c r="K92" s="497"/>
      <c r="L92" s="498"/>
    </row>
    <row r="93" spans="1:12" ht="24" customHeight="1" x14ac:dyDescent="0.25">
      <c r="A93" s="491">
        <v>2515</v>
      </c>
      <c r="B93" s="501" t="s">
        <v>1016</v>
      </c>
      <c r="C93" s="524">
        <v>828260304809</v>
      </c>
      <c r="D93" s="524"/>
      <c r="E93" s="524"/>
      <c r="F93" s="493"/>
      <c r="G93" s="494"/>
      <c r="H93" s="495"/>
      <c r="I93" s="525"/>
      <c r="J93" s="497"/>
      <c r="K93" s="497"/>
      <c r="L93" s="498"/>
    </row>
    <row r="94" spans="1:12" ht="24" customHeight="1" x14ac:dyDescent="0.25">
      <c r="A94" s="491">
        <v>2701</v>
      </c>
      <c r="B94" s="501" t="s">
        <v>1017</v>
      </c>
      <c r="C94" s="524">
        <v>68198907438</v>
      </c>
      <c r="D94" s="524">
        <f>+C94</f>
        <v>68198907438</v>
      </c>
      <c r="E94" s="524"/>
      <c r="F94" s="493"/>
      <c r="G94" s="494"/>
      <c r="H94" s="495"/>
      <c r="I94" s="525"/>
      <c r="J94" s="497"/>
      <c r="K94" s="497"/>
      <c r="L94" s="498"/>
    </row>
    <row r="95" spans="1:12" ht="24" customHeight="1" x14ac:dyDescent="0.25">
      <c r="A95" s="491">
        <v>2790</v>
      </c>
      <c r="B95" s="501" t="s">
        <v>1018</v>
      </c>
      <c r="C95" s="524">
        <v>194610262818</v>
      </c>
      <c r="D95" s="524">
        <f>+C95</f>
        <v>194610262818</v>
      </c>
      <c r="E95" s="524"/>
      <c r="F95" s="493"/>
      <c r="G95" s="494"/>
      <c r="H95" s="495"/>
      <c r="I95" s="525"/>
      <c r="J95" s="497"/>
      <c r="K95" s="497"/>
      <c r="L95" s="498"/>
    </row>
    <row r="96" spans="1:12" ht="24" customHeight="1" x14ac:dyDescent="0.25">
      <c r="A96" s="491">
        <v>2901</v>
      </c>
      <c r="B96" s="501" t="s">
        <v>1019</v>
      </c>
      <c r="C96" s="524">
        <v>0</v>
      </c>
      <c r="D96" s="524"/>
      <c r="E96" s="524"/>
      <c r="F96" s="493"/>
      <c r="G96" s="494"/>
      <c r="H96" s="495"/>
      <c r="I96" s="525"/>
      <c r="J96" s="497"/>
      <c r="K96" s="497"/>
      <c r="L96" s="498"/>
    </row>
    <row r="97" spans="1:12" ht="24" customHeight="1" x14ac:dyDescent="0.25">
      <c r="A97" s="491">
        <v>290101</v>
      </c>
      <c r="B97" s="501" t="s">
        <v>1020</v>
      </c>
      <c r="C97" s="524">
        <v>4884020098</v>
      </c>
      <c r="D97" s="524">
        <v>4884020098</v>
      </c>
      <c r="E97" s="524"/>
      <c r="F97" s="493"/>
      <c r="G97" s="494"/>
      <c r="H97" s="495"/>
      <c r="I97" s="525"/>
      <c r="J97" s="497"/>
      <c r="K97" s="497"/>
      <c r="L97" s="498" t="s">
        <v>1021</v>
      </c>
    </row>
    <row r="98" spans="1:12" ht="24" customHeight="1" x14ac:dyDescent="0.25">
      <c r="A98" s="491">
        <v>290190</v>
      </c>
      <c r="B98" s="501" t="s">
        <v>1022</v>
      </c>
      <c r="C98" s="524">
        <v>649789</v>
      </c>
      <c r="D98" s="524">
        <v>649789</v>
      </c>
      <c r="E98" s="524"/>
      <c r="F98" s="493"/>
      <c r="G98" s="494"/>
      <c r="H98" s="495"/>
      <c r="I98" s="525">
        <f t="shared" ref="I98:I121" si="3">G98+H98</f>
        <v>0</v>
      </c>
      <c r="J98" s="497"/>
      <c r="K98" s="497"/>
      <c r="L98" s="498"/>
    </row>
    <row r="99" spans="1:12" ht="24" customHeight="1" x14ac:dyDescent="0.25">
      <c r="A99" s="491">
        <v>2902</v>
      </c>
      <c r="B99" s="501" t="s">
        <v>1022</v>
      </c>
      <c r="C99" s="524">
        <v>0</v>
      </c>
      <c r="D99" s="524"/>
      <c r="E99" s="524"/>
      <c r="F99" s="493"/>
      <c r="G99" s="494"/>
      <c r="H99" s="495"/>
      <c r="I99" s="525">
        <f t="shared" si="3"/>
        <v>0</v>
      </c>
      <c r="J99" s="497"/>
      <c r="K99" s="497"/>
      <c r="L99" s="498"/>
    </row>
    <row r="100" spans="1:12" ht="24" customHeight="1" x14ac:dyDescent="0.25">
      <c r="A100" s="491">
        <v>290201</v>
      </c>
      <c r="B100" s="501" t="s">
        <v>993</v>
      </c>
      <c r="C100" s="524">
        <v>544853021974</v>
      </c>
      <c r="D100" s="524">
        <f>+C100</f>
        <v>544853021974</v>
      </c>
      <c r="E100" s="524"/>
      <c r="F100" s="493"/>
      <c r="G100" s="494"/>
      <c r="H100" s="495"/>
      <c r="I100" s="525">
        <f t="shared" si="3"/>
        <v>0</v>
      </c>
      <c r="J100" s="497" t="s">
        <v>1023</v>
      </c>
      <c r="K100" s="497"/>
      <c r="L100" s="498" t="s">
        <v>1024</v>
      </c>
    </row>
    <row r="101" spans="1:12" ht="24" customHeight="1" x14ac:dyDescent="0.25">
      <c r="A101" s="491">
        <v>2903</v>
      </c>
      <c r="B101" s="501" t="s">
        <v>1025</v>
      </c>
      <c r="C101" s="524">
        <v>56877170029</v>
      </c>
      <c r="D101" s="524"/>
      <c r="E101" s="524"/>
      <c r="F101" s="493"/>
      <c r="G101" s="494"/>
      <c r="H101" s="495"/>
      <c r="I101" s="525">
        <f t="shared" si="3"/>
        <v>0</v>
      </c>
      <c r="J101" s="497"/>
      <c r="K101" s="497"/>
      <c r="L101" s="498"/>
    </row>
    <row r="102" spans="1:12" ht="24" customHeight="1" x14ac:dyDescent="0.25">
      <c r="A102" s="491">
        <v>2910</v>
      </c>
      <c r="B102" s="501" t="s">
        <v>1026</v>
      </c>
      <c r="C102" s="524">
        <v>3630830869</v>
      </c>
      <c r="D102" s="524"/>
      <c r="E102" s="524"/>
      <c r="F102" s="493"/>
      <c r="G102" s="494">
        <f t="shared" ref="G102:G121" si="4">+E102+F102</f>
        <v>0</v>
      </c>
      <c r="H102" s="495"/>
      <c r="I102" s="525">
        <f t="shared" si="3"/>
        <v>0</v>
      </c>
      <c r="J102" s="497"/>
      <c r="K102" s="497"/>
      <c r="L102" s="498"/>
    </row>
    <row r="103" spans="1:12" ht="24" customHeight="1" x14ac:dyDescent="0.25">
      <c r="A103" s="491">
        <v>2919</v>
      </c>
      <c r="B103" s="501" t="s">
        <v>1027</v>
      </c>
      <c r="C103" s="524">
        <v>193296991177</v>
      </c>
      <c r="D103" s="524"/>
      <c r="E103" s="524"/>
      <c r="F103" s="493"/>
      <c r="G103" s="494">
        <f t="shared" si="4"/>
        <v>0</v>
      </c>
      <c r="H103" s="495"/>
      <c r="I103" s="525">
        <f t="shared" si="3"/>
        <v>0</v>
      </c>
      <c r="J103" s="497"/>
      <c r="K103" s="497"/>
      <c r="L103" s="498"/>
    </row>
    <row r="104" spans="1:12" ht="24" customHeight="1" x14ac:dyDescent="0.25">
      <c r="A104" s="491">
        <v>2990</v>
      </c>
      <c r="B104" s="501" t="s">
        <v>1028</v>
      </c>
      <c r="C104" s="524">
        <v>3879249705</v>
      </c>
      <c r="D104" s="524"/>
      <c r="E104" s="524"/>
      <c r="F104" s="493"/>
      <c r="G104" s="494">
        <f t="shared" si="4"/>
        <v>0</v>
      </c>
      <c r="H104" s="495"/>
      <c r="I104" s="525">
        <f t="shared" si="3"/>
        <v>0</v>
      </c>
      <c r="J104" s="497"/>
      <c r="K104" s="497"/>
      <c r="L104" s="498"/>
    </row>
    <row r="105" spans="1:12" ht="24" customHeight="1" x14ac:dyDescent="0.25">
      <c r="A105" s="491">
        <v>3208</v>
      </c>
      <c r="B105" s="501" t="s">
        <v>1029</v>
      </c>
      <c r="C105" s="524">
        <v>2051301090140</v>
      </c>
      <c r="D105" s="524"/>
      <c r="E105" s="524"/>
      <c r="F105" s="493"/>
      <c r="G105" s="494">
        <f t="shared" si="4"/>
        <v>0</v>
      </c>
      <c r="H105" s="495"/>
      <c r="I105" s="525">
        <f t="shared" si="3"/>
        <v>0</v>
      </c>
      <c r="J105" s="497"/>
      <c r="K105" s="497"/>
      <c r="L105" s="498"/>
    </row>
    <row r="106" spans="1:12" ht="24" customHeight="1" x14ac:dyDescent="0.25">
      <c r="A106" s="491">
        <v>3215</v>
      </c>
      <c r="B106" s="501" t="s">
        <v>1030</v>
      </c>
      <c r="C106" s="524">
        <v>1851999292277</v>
      </c>
      <c r="D106" s="524"/>
      <c r="E106" s="524"/>
      <c r="F106" s="493"/>
      <c r="G106" s="494">
        <f t="shared" si="4"/>
        <v>0</v>
      </c>
      <c r="H106" s="495"/>
      <c r="I106" s="525">
        <f t="shared" si="3"/>
        <v>0</v>
      </c>
      <c r="J106" s="497"/>
      <c r="K106" s="497"/>
      <c r="L106" s="498"/>
    </row>
    <row r="107" spans="1:12" ht="24" customHeight="1" x14ac:dyDescent="0.25">
      <c r="A107" s="491">
        <v>3225</v>
      </c>
      <c r="B107" s="501" t="s">
        <v>1031</v>
      </c>
      <c r="C107" s="524">
        <v>680888773571</v>
      </c>
      <c r="D107" s="524"/>
      <c r="E107" s="524"/>
      <c r="F107" s="493"/>
      <c r="G107" s="494">
        <f t="shared" si="4"/>
        <v>0</v>
      </c>
      <c r="H107" s="495"/>
      <c r="I107" s="525">
        <f t="shared" si="3"/>
        <v>0</v>
      </c>
      <c r="J107" s="497"/>
      <c r="K107" s="497"/>
      <c r="L107" s="498"/>
    </row>
    <row r="108" spans="1:12" ht="24" customHeight="1" x14ac:dyDescent="0.25">
      <c r="A108" s="491">
        <v>3230</v>
      </c>
      <c r="B108" s="501" t="s">
        <v>1032</v>
      </c>
      <c r="C108" s="524">
        <v>463573000421</v>
      </c>
      <c r="D108" s="524"/>
      <c r="E108" s="524"/>
      <c r="F108" s="493"/>
      <c r="G108" s="494">
        <f t="shared" si="4"/>
        <v>0</v>
      </c>
      <c r="H108" s="495"/>
      <c r="I108" s="525">
        <f t="shared" si="3"/>
        <v>0</v>
      </c>
      <c r="J108" s="497"/>
      <c r="K108" s="497"/>
      <c r="L108" s="498"/>
    </row>
    <row r="109" spans="1:12" ht="24" customHeight="1" x14ac:dyDescent="0.25">
      <c r="A109" s="491">
        <v>3271</v>
      </c>
      <c r="B109" s="501" t="s">
        <v>1033</v>
      </c>
      <c r="C109" s="524">
        <v>2120011209</v>
      </c>
      <c r="D109" s="524"/>
      <c r="E109" s="524"/>
      <c r="F109" s="493"/>
      <c r="G109" s="494">
        <f t="shared" si="4"/>
        <v>0</v>
      </c>
      <c r="H109" s="495"/>
      <c r="I109" s="525">
        <f t="shared" si="3"/>
        <v>0</v>
      </c>
      <c r="J109" s="497"/>
      <c r="K109" s="497"/>
      <c r="L109" s="498"/>
    </row>
    <row r="110" spans="1:12" ht="24" customHeight="1" x14ac:dyDescent="0.25">
      <c r="A110" s="491">
        <v>3274</v>
      </c>
      <c r="B110" s="501" t="s">
        <v>1034</v>
      </c>
      <c r="C110" s="524">
        <v>-1348539573</v>
      </c>
      <c r="D110" s="524">
        <v>1348539573</v>
      </c>
      <c r="E110" s="524"/>
      <c r="F110" s="493"/>
      <c r="G110" s="494">
        <f t="shared" si="4"/>
        <v>0</v>
      </c>
      <c r="H110" s="495"/>
      <c r="I110" s="525">
        <f t="shared" si="3"/>
        <v>0</v>
      </c>
      <c r="J110" s="497"/>
      <c r="K110" s="497"/>
      <c r="L110" s="498"/>
    </row>
    <row r="111" spans="1:12" ht="24" customHeight="1" x14ac:dyDescent="0.25">
      <c r="A111" s="491">
        <v>3280</v>
      </c>
      <c r="B111" s="501" t="s">
        <v>1035</v>
      </c>
      <c r="C111" s="524">
        <v>-870517211987</v>
      </c>
      <c r="D111" s="524">
        <v>870517211987</v>
      </c>
      <c r="E111" s="524"/>
      <c r="F111" s="493"/>
      <c r="G111" s="494">
        <f t="shared" si="4"/>
        <v>0</v>
      </c>
      <c r="H111" s="495"/>
      <c r="I111" s="525">
        <f t="shared" si="3"/>
        <v>0</v>
      </c>
      <c r="J111" s="497"/>
      <c r="K111" s="497"/>
      <c r="L111" s="498"/>
    </row>
    <row r="112" spans="1:12" ht="33.75" hidden="1" customHeight="1" x14ac:dyDescent="0.25">
      <c r="A112" s="491"/>
      <c r="B112" s="526"/>
      <c r="C112" s="493"/>
      <c r="D112" s="493"/>
      <c r="E112" s="493"/>
      <c r="F112" s="493"/>
      <c r="G112" s="494">
        <f t="shared" si="4"/>
        <v>0</v>
      </c>
      <c r="H112" s="495"/>
      <c r="I112" s="525">
        <f t="shared" si="3"/>
        <v>0</v>
      </c>
      <c r="J112" s="497"/>
      <c r="K112" s="497"/>
      <c r="L112" s="498"/>
    </row>
    <row r="113" spans="1:12" ht="26.25" hidden="1" customHeight="1" x14ac:dyDescent="0.25">
      <c r="A113" s="491"/>
      <c r="B113" s="526"/>
      <c r="C113" s="493"/>
      <c r="D113" s="525"/>
      <c r="E113" s="493"/>
      <c r="F113" s="493"/>
      <c r="G113" s="494">
        <f t="shared" si="4"/>
        <v>0</v>
      </c>
      <c r="H113" s="495"/>
      <c r="I113" s="525">
        <f t="shared" si="3"/>
        <v>0</v>
      </c>
      <c r="J113" s="497"/>
      <c r="K113" s="497"/>
      <c r="L113" s="498"/>
    </row>
    <row r="114" spans="1:12" ht="36" hidden="1" customHeight="1" x14ac:dyDescent="0.25">
      <c r="A114" s="491"/>
      <c r="B114" s="526"/>
      <c r="C114" s="493"/>
      <c r="D114" s="493"/>
      <c r="E114" s="493"/>
      <c r="F114" s="527"/>
      <c r="G114" s="494">
        <f t="shared" si="4"/>
        <v>0</v>
      </c>
      <c r="H114" s="495"/>
      <c r="I114" s="525">
        <f t="shared" si="3"/>
        <v>0</v>
      </c>
      <c r="J114" s="497"/>
      <c r="K114" s="497"/>
      <c r="L114" s="498"/>
    </row>
    <row r="115" spans="1:12" ht="26.25" hidden="1" customHeight="1" x14ac:dyDescent="0.25">
      <c r="A115" s="491"/>
      <c r="B115" s="526"/>
      <c r="C115" s="493"/>
      <c r="D115" s="493"/>
      <c r="E115" s="493"/>
      <c r="F115" s="493"/>
      <c r="G115" s="494">
        <f t="shared" si="4"/>
        <v>0</v>
      </c>
      <c r="H115" s="495"/>
      <c r="I115" s="525">
        <f t="shared" si="3"/>
        <v>0</v>
      </c>
      <c r="J115" s="497"/>
      <c r="K115" s="497"/>
      <c r="L115" s="498"/>
    </row>
    <row r="116" spans="1:12" ht="33" hidden="1" customHeight="1" x14ac:dyDescent="0.25">
      <c r="A116" s="491"/>
      <c r="B116" s="526"/>
      <c r="C116" s="493"/>
      <c r="D116" s="493"/>
      <c r="E116" s="493"/>
      <c r="F116" s="493"/>
      <c r="G116" s="494">
        <f t="shared" si="4"/>
        <v>0</v>
      </c>
      <c r="H116" s="495"/>
      <c r="I116" s="525">
        <f t="shared" si="3"/>
        <v>0</v>
      </c>
      <c r="J116" s="497"/>
      <c r="K116" s="497"/>
      <c r="L116" s="498"/>
    </row>
    <row r="117" spans="1:12" ht="26.25" hidden="1" customHeight="1" x14ac:dyDescent="0.25">
      <c r="A117" s="491"/>
      <c r="B117" s="526"/>
      <c r="C117" s="493"/>
      <c r="D117" s="493"/>
      <c r="E117" s="493"/>
      <c r="F117" s="493"/>
      <c r="G117" s="494">
        <f t="shared" si="4"/>
        <v>0</v>
      </c>
      <c r="H117" s="495"/>
      <c r="I117" s="525">
        <f t="shared" si="3"/>
        <v>0</v>
      </c>
      <c r="J117" s="497"/>
      <c r="K117" s="497"/>
      <c r="L117" s="498"/>
    </row>
    <row r="118" spans="1:12" ht="26.25" hidden="1" customHeight="1" x14ac:dyDescent="0.25">
      <c r="A118" s="491"/>
      <c r="B118" s="526"/>
      <c r="C118" s="493"/>
      <c r="D118" s="493"/>
      <c r="E118" s="493"/>
      <c r="F118" s="493"/>
      <c r="G118" s="494">
        <f t="shared" si="4"/>
        <v>0</v>
      </c>
      <c r="H118" s="495"/>
      <c r="I118" s="525">
        <f t="shared" si="3"/>
        <v>0</v>
      </c>
      <c r="J118" s="497"/>
      <c r="K118" s="497"/>
      <c r="L118" s="498"/>
    </row>
    <row r="119" spans="1:12" ht="26.25" hidden="1" customHeight="1" x14ac:dyDescent="0.25">
      <c r="A119" s="491"/>
      <c r="B119" s="526"/>
      <c r="C119" s="493"/>
      <c r="D119" s="493"/>
      <c r="E119" s="493"/>
      <c r="F119" s="493"/>
      <c r="G119" s="494">
        <f t="shared" si="4"/>
        <v>0</v>
      </c>
      <c r="H119" s="495"/>
      <c r="I119" s="525">
        <f t="shared" si="3"/>
        <v>0</v>
      </c>
      <c r="J119" s="497"/>
      <c r="K119" s="497"/>
      <c r="L119" s="498"/>
    </row>
    <row r="120" spans="1:12" ht="26.25" hidden="1" customHeight="1" x14ac:dyDescent="0.25">
      <c r="A120" s="491"/>
      <c r="B120" s="526"/>
      <c r="C120" s="493"/>
      <c r="D120" s="493"/>
      <c r="E120" s="493"/>
      <c r="F120" s="493"/>
      <c r="G120" s="494">
        <f t="shared" si="4"/>
        <v>0</v>
      </c>
      <c r="H120" s="495"/>
      <c r="I120" s="525">
        <f t="shared" si="3"/>
        <v>0</v>
      </c>
      <c r="J120" s="497"/>
      <c r="K120" s="497"/>
      <c r="L120" s="498"/>
    </row>
    <row r="121" spans="1:12" ht="14.25" hidden="1" x14ac:dyDescent="0.25">
      <c r="A121" s="491"/>
      <c r="B121" s="526"/>
      <c r="C121" s="493"/>
      <c r="D121" s="493"/>
      <c r="E121" s="493"/>
      <c r="F121" s="493"/>
      <c r="G121" s="494">
        <f t="shared" si="4"/>
        <v>0</v>
      </c>
      <c r="H121" s="495"/>
      <c r="I121" s="525">
        <f t="shared" si="3"/>
        <v>0</v>
      </c>
      <c r="J121" s="497"/>
      <c r="K121" s="497"/>
      <c r="L121" s="498"/>
    </row>
    <row r="122" spans="1:12" x14ac:dyDescent="0.25">
      <c r="A122" s="528"/>
      <c r="B122" s="529" t="s">
        <v>1036</v>
      </c>
      <c r="C122" s="505">
        <f t="shared" ref="C122:I122" si="5">SUM(C83:C121)</f>
        <v>9809408852000</v>
      </c>
      <c r="D122" s="505">
        <f t="shared" si="5"/>
        <v>1821154860581</v>
      </c>
      <c r="E122" s="505">
        <f t="shared" si="5"/>
        <v>0</v>
      </c>
      <c r="F122" s="505">
        <f t="shared" si="5"/>
        <v>0</v>
      </c>
      <c r="G122" s="505">
        <f>SUM(G83:G121)</f>
        <v>0</v>
      </c>
      <c r="H122" s="530">
        <f t="shared" si="5"/>
        <v>0</v>
      </c>
      <c r="I122" s="530">
        <f t="shared" si="5"/>
        <v>0</v>
      </c>
      <c r="J122" s="507"/>
      <c r="K122" s="505"/>
      <c r="L122" s="531"/>
    </row>
    <row r="123" spans="1:12" ht="15.75" thickBot="1" x14ac:dyDescent="0.3">
      <c r="A123" s="1546" t="s">
        <v>1037</v>
      </c>
      <c r="B123" s="1547"/>
      <c r="C123" s="532"/>
      <c r="D123" s="533">
        <f>IFERROR(IF(D122&lt;=0,0,(D122/C122)*100),"")</f>
        <v>18.565388476082248</v>
      </c>
      <c r="E123" s="534"/>
      <c r="F123" s="534"/>
      <c r="G123" s="512">
        <f>IFERROR(IF(G122&lt;=0,0,G122/C122),0)</f>
        <v>0</v>
      </c>
      <c r="H123" s="535">
        <f>IFERROR(IF(H122&lt;=0,0,H122/C122),0)</f>
        <v>0</v>
      </c>
      <c r="I123" s="536">
        <f>IFERROR(IF(I122&lt;=0,0,I122/C122),0)</f>
        <v>0</v>
      </c>
      <c r="J123" s="537"/>
      <c r="K123" s="515"/>
      <c r="L123" s="531"/>
    </row>
    <row r="124" spans="1:12" ht="16.5" customHeight="1" thickTop="1" thickBot="1" x14ac:dyDescent="0.3">
      <c r="A124" s="1514" t="s">
        <v>1038</v>
      </c>
      <c r="B124" s="1515"/>
      <c r="C124" s="538"/>
      <c r="D124" s="539"/>
      <c r="E124" s="538"/>
      <c r="F124" s="538"/>
      <c r="G124" s="540">
        <f>IF(G123&gt;=G80,G123,G80)</f>
        <v>0</v>
      </c>
      <c r="H124" s="541">
        <f>IF(H123&gt;=H80,H123,H80)</f>
        <v>0</v>
      </c>
      <c r="I124" s="541">
        <f>IFERROR(G124+H124,"")</f>
        <v>0</v>
      </c>
      <c r="J124" s="542"/>
      <c r="K124" s="515"/>
      <c r="L124" s="543"/>
    </row>
    <row r="125" spans="1:12" ht="15.75" customHeight="1" thickTop="1" thickBot="1" x14ac:dyDescent="0.3">
      <c r="A125" s="1514" t="s">
        <v>1039</v>
      </c>
      <c r="B125" s="1515"/>
      <c r="C125" s="544"/>
      <c r="D125" s="544"/>
      <c r="E125" s="544"/>
      <c r="F125" s="544"/>
      <c r="G125" s="545">
        <f>IF(G122&gt;=G79,G122,G79)</f>
        <v>0</v>
      </c>
      <c r="H125" s="545">
        <f>IF(H122&gt;=H79,H122,H79)</f>
        <v>0</v>
      </c>
      <c r="I125" s="530">
        <f>IFERROR(G125+H125,"")</f>
        <v>0</v>
      </c>
      <c r="J125" s="546"/>
      <c r="K125" s="546"/>
      <c r="L125" s="531"/>
    </row>
    <row r="126" spans="1:12" s="462" customFormat="1" ht="15.75" customHeight="1" x14ac:dyDescent="0.25">
      <c r="A126" s="547"/>
      <c r="B126" s="547"/>
      <c r="C126" s="548"/>
      <c r="D126" s="548"/>
      <c r="E126" s="548"/>
      <c r="F126" s="548"/>
      <c r="G126" s="549"/>
      <c r="H126" s="549"/>
      <c r="I126" s="550"/>
      <c r="J126" s="551"/>
      <c r="K126" s="551"/>
      <c r="L126" s="552"/>
    </row>
    <row r="127" spans="1:12" s="462" customFormat="1" ht="237.75" customHeight="1" x14ac:dyDescent="0.25">
      <c r="A127" s="1516" t="s">
        <v>1040</v>
      </c>
      <c r="B127" s="1516"/>
      <c r="C127" s="1516"/>
      <c r="D127" s="1516"/>
      <c r="E127" s="1516"/>
      <c r="F127" s="1516"/>
      <c r="G127" s="1516"/>
      <c r="H127" s="1516"/>
      <c r="I127" s="1516"/>
      <c r="J127" s="1516"/>
      <c r="K127" s="1516"/>
      <c r="L127" s="1516"/>
    </row>
    <row r="128" spans="1:12" s="462" customFormat="1" ht="14.25" x14ac:dyDescent="0.25">
      <c r="A128" s="553"/>
      <c r="B128" s="553"/>
      <c r="C128" s="553"/>
      <c r="D128" s="553"/>
      <c r="E128" s="553"/>
      <c r="F128" s="553"/>
      <c r="G128" s="553"/>
      <c r="H128" s="553"/>
      <c r="I128" s="553"/>
      <c r="J128" s="553"/>
      <c r="K128" s="553"/>
      <c r="L128" s="553"/>
    </row>
    <row r="129" spans="1:12" s="462" customFormat="1" ht="295.5" customHeight="1" x14ac:dyDescent="0.25">
      <c r="A129" s="1516" t="s">
        <v>1041</v>
      </c>
      <c r="B129" s="1516"/>
      <c r="C129" s="1516"/>
      <c r="D129" s="1516"/>
      <c r="E129" s="1516"/>
      <c r="F129" s="1516"/>
      <c r="G129" s="1516"/>
      <c r="H129" s="1516"/>
      <c r="I129" s="1516"/>
      <c r="J129" s="1516"/>
      <c r="K129" s="1516"/>
      <c r="L129" s="1516"/>
    </row>
    <row r="130" spans="1:12" s="462" customFormat="1" ht="14.25" customHeight="1" x14ac:dyDescent="0.25">
      <c r="A130" s="547"/>
      <c r="B130" s="547"/>
      <c r="C130" s="548"/>
      <c r="D130" s="548"/>
      <c r="E130" s="548"/>
      <c r="F130" s="548"/>
      <c r="G130" s="549"/>
      <c r="H130" s="549"/>
      <c r="I130" s="550"/>
      <c r="J130" s="551"/>
      <c r="K130" s="551"/>
      <c r="L130" s="552"/>
    </row>
    <row r="131" spans="1:12" ht="6.75" customHeight="1" x14ac:dyDescent="0.25">
      <c r="A131" s="554"/>
      <c r="B131" s="544"/>
      <c r="C131" s="544"/>
      <c r="D131" s="544"/>
      <c r="E131" s="544"/>
      <c r="F131" s="544"/>
      <c r="G131" s="551"/>
      <c r="H131" s="551"/>
      <c r="I131" s="551"/>
      <c r="J131" s="554"/>
      <c r="K131" s="554"/>
      <c r="L131" s="521"/>
    </row>
    <row r="132" spans="1:12" ht="44.25" customHeight="1" x14ac:dyDescent="0.25">
      <c r="A132" s="1517" t="s">
        <v>1042</v>
      </c>
      <c r="B132" s="1518"/>
      <c r="C132" s="1518"/>
      <c r="D132" s="1518"/>
      <c r="E132" s="1518"/>
      <c r="F132" s="1519"/>
      <c r="G132" s="1520"/>
      <c r="H132" s="1520"/>
      <c r="I132" s="1520"/>
      <c r="J132" s="1520"/>
      <c r="K132" s="1520"/>
      <c r="L132" s="1521"/>
    </row>
    <row r="133" spans="1:12" ht="46.5" customHeight="1" thickBot="1" x14ac:dyDescent="0.3">
      <c r="A133" s="555" t="s">
        <v>1043</v>
      </c>
      <c r="B133" s="555" t="s">
        <v>1044</v>
      </c>
      <c r="C133" s="555" t="s">
        <v>1045</v>
      </c>
      <c r="D133" s="555" t="s">
        <v>1046</v>
      </c>
      <c r="E133" s="555" t="s">
        <v>1047</v>
      </c>
      <c r="F133" s="555" t="s">
        <v>1048</v>
      </c>
      <c r="G133" s="329"/>
      <c r="H133" s="556"/>
      <c r="I133" s="557"/>
      <c r="J133" s="557"/>
      <c r="K133" s="329"/>
      <c r="L133" s="558"/>
    </row>
    <row r="134" spans="1:12" ht="69" customHeight="1" thickBot="1" x14ac:dyDescent="0.3">
      <c r="A134" s="559" t="s">
        <v>1049</v>
      </c>
      <c r="B134" s="560" t="s">
        <v>1050</v>
      </c>
      <c r="C134" s="561" t="s">
        <v>1051</v>
      </c>
      <c r="D134" s="561" t="s">
        <v>1052</v>
      </c>
      <c r="E134" s="562">
        <v>100</v>
      </c>
      <c r="F134" s="563" t="s">
        <v>499</v>
      </c>
      <c r="G134" s="564"/>
      <c r="H134" s="565"/>
      <c r="I134" s="566"/>
      <c r="J134" s="567"/>
      <c r="K134" s="565"/>
      <c r="L134" s="568"/>
    </row>
    <row r="135" spans="1:12" ht="79.5" customHeight="1" thickBot="1" x14ac:dyDescent="0.3">
      <c r="A135" s="559" t="s">
        <v>1053</v>
      </c>
      <c r="B135" s="560" t="s">
        <v>1054</v>
      </c>
      <c r="C135" s="561" t="s">
        <v>1055</v>
      </c>
      <c r="D135" s="561" t="s">
        <v>1056</v>
      </c>
      <c r="E135" s="562">
        <v>75</v>
      </c>
      <c r="F135" s="563" t="s">
        <v>499</v>
      </c>
      <c r="H135" s="457"/>
      <c r="I135" s="457"/>
      <c r="L135" s="521"/>
    </row>
    <row r="136" spans="1:12" ht="81.75" customHeight="1" thickBot="1" x14ac:dyDescent="0.3">
      <c r="A136" s="559" t="s">
        <v>1057</v>
      </c>
      <c r="B136" s="560" t="s">
        <v>1058</v>
      </c>
      <c r="C136" s="569" t="s">
        <v>1059</v>
      </c>
      <c r="D136" s="569" t="s">
        <v>1060</v>
      </c>
      <c r="E136" s="562">
        <v>0</v>
      </c>
      <c r="F136" s="563" t="s">
        <v>514</v>
      </c>
      <c r="H136" s="457"/>
      <c r="I136" s="457"/>
      <c r="L136" s="521"/>
    </row>
    <row r="137" spans="1:12" ht="84.75" customHeight="1" thickBot="1" x14ac:dyDescent="0.3">
      <c r="A137" s="559" t="s">
        <v>1061</v>
      </c>
      <c r="B137" s="570"/>
      <c r="C137" s="569" t="s">
        <v>1060</v>
      </c>
      <c r="D137" s="569" t="s">
        <v>1060</v>
      </c>
      <c r="E137" s="562">
        <v>0</v>
      </c>
      <c r="F137" s="563" t="s">
        <v>514</v>
      </c>
      <c r="H137" s="457"/>
      <c r="I137" s="457"/>
      <c r="L137" s="521"/>
    </row>
    <row r="138" spans="1:12" ht="24" customHeight="1" x14ac:dyDescent="0.25">
      <c r="A138" s="571"/>
      <c r="B138" s="572"/>
      <c r="C138" s="573"/>
      <c r="D138" s="573"/>
      <c r="E138" s="572"/>
      <c r="F138" s="572"/>
      <c r="H138" s="457"/>
      <c r="I138" s="457"/>
      <c r="L138" s="521"/>
    </row>
    <row r="139" spans="1:12" ht="33.75" customHeight="1" x14ac:dyDescent="0.25">
      <c r="A139" s="1522" t="s">
        <v>1062</v>
      </c>
      <c r="B139" s="1523"/>
      <c r="C139" s="1523"/>
      <c r="D139" s="1523"/>
      <c r="E139" s="1523"/>
      <c r="F139" s="1523"/>
      <c r="G139" s="1523"/>
      <c r="H139" s="1523"/>
      <c r="I139" s="1523"/>
      <c r="J139" s="1523"/>
      <c r="K139" s="1523"/>
      <c r="L139" s="574"/>
    </row>
    <row r="140" spans="1:12" ht="61.5" customHeight="1" x14ac:dyDescent="0.25">
      <c r="A140" s="1524" t="s">
        <v>1063</v>
      </c>
      <c r="B140" s="1524"/>
      <c r="C140" s="575" t="s">
        <v>1064</v>
      </c>
      <c r="D140" s="575" t="s">
        <v>1065</v>
      </c>
      <c r="E140" s="576" t="s">
        <v>1066</v>
      </c>
      <c r="F140" s="577" t="s">
        <v>1064</v>
      </c>
      <c r="G140" s="575" t="s">
        <v>1065</v>
      </c>
      <c r="H140" s="578"/>
      <c r="I140" s="576" t="s">
        <v>1067</v>
      </c>
      <c r="J140" s="575" t="s">
        <v>1064</v>
      </c>
      <c r="K140" s="575" t="s">
        <v>1065</v>
      </c>
      <c r="L140" s="574"/>
    </row>
    <row r="141" spans="1:12" ht="95.25" customHeight="1" x14ac:dyDescent="0.25">
      <c r="A141" s="1525" t="s">
        <v>1068</v>
      </c>
      <c r="B141" s="1526"/>
      <c r="C141" s="579">
        <f>G79/I150</f>
        <v>0</v>
      </c>
      <c r="D141" s="579">
        <f>G80/H150</f>
        <v>0</v>
      </c>
      <c r="E141" s="580" t="s">
        <v>1069</v>
      </c>
      <c r="F141" s="579">
        <f>H79/I150</f>
        <v>0</v>
      </c>
      <c r="G141" s="579">
        <f>H80/H150</f>
        <v>0</v>
      </c>
      <c r="H141" s="578"/>
      <c r="I141" s="580" t="s">
        <v>1070</v>
      </c>
      <c r="J141" s="579">
        <f>I79/I150</f>
        <v>0</v>
      </c>
      <c r="K141" s="579">
        <f>I80/H150</f>
        <v>0</v>
      </c>
      <c r="L141" s="574"/>
    </row>
    <row r="142" spans="1:12" ht="106.5" customHeight="1" x14ac:dyDescent="0.25">
      <c r="A142" s="1525" t="s">
        <v>1071</v>
      </c>
      <c r="B142" s="1526"/>
      <c r="C142" s="579">
        <f>G122/I150</f>
        <v>0</v>
      </c>
      <c r="D142" s="579">
        <f>G123/H150</f>
        <v>0</v>
      </c>
      <c r="E142" s="580" t="s">
        <v>1072</v>
      </c>
      <c r="F142" s="579">
        <f>H122/I150</f>
        <v>0</v>
      </c>
      <c r="G142" s="579">
        <f>H123/H150</f>
        <v>0</v>
      </c>
      <c r="H142" s="578"/>
      <c r="I142" s="580" t="s">
        <v>1073</v>
      </c>
      <c r="J142" s="579">
        <f>I122/I150</f>
        <v>0</v>
      </c>
      <c r="K142" s="579">
        <f>I123/H150</f>
        <v>0</v>
      </c>
      <c r="L142" s="574"/>
    </row>
    <row r="143" spans="1:12" ht="18" x14ac:dyDescent="0.25">
      <c r="A143" s="581"/>
      <c r="B143" s="582"/>
      <c r="C143" s="582"/>
      <c r="D143" s="582"/>
      <c r="E143" s="582"/>
      <c r="G143" s="583"/>
      <c r="H143" s="457"/>
      <c r="I143" s="583"/>
      <c r="L143" s="574"/>
    </row>
    <row r="144" spans="1:12" ht="66.75" customHeight="1" x14ac:dyDescent="0.25">
      <c r="A144" s="1527" t="s">
        <v>1074</v>
      </c>
      <c r="B144" s="1527"/>
      <c r="C144" s="584">
        <f>IF(C141&gt;C142,C141,C142)</f>
        <v>0</v>
      </c>
      <c r="D144" s="584">
        <f>IF(D141&gt;D142,D141,D142)</f>
        <v>0</v>
      </c>
      <c r="E144" s="585" t="s">
        <v>1074</v>
      </c>
      <c r="F144" s="584">
        <f>IF(F141&gt;F142,F141,F142)</f>
        <v>0</v>
      </c>
      <c r="G144" s="584">
        <f>IF(G141&gt;G142,G141,G142)</f>
        <v>0</v>
      </c>
      <c r="H144" s="586"/>
      <c r="I144" s="587" t="s">
        <v>1074</v>
      </c>
      <c r="J144" s="584">
        <f>IF(J141&gt;J142,J141,J142)</f>
        <v>0</v>
      </c>
      <c r="K144" s="584">
        <f>IF(K141&gt;K142,K141,K142)</f>
        <v>0</v>
      </c>
      <c r="L144" s="574"/>
    </row>
    <row r="145" spans="1:12" ht="18" x14ac:dyDescent="0.25">
      <c r="A145" s="588"/>
      <c r="B145" s="588"/>
      <c r="C145" s="586"/>
      <c r="D145" s="586"/>
      <c r="E145" s="589"/>
      <c r="F145" s="586"/>
      <c r="G145" s="586"/>
      <c r="H145" s="586"/>
      <c r="I145" s="590"/>
      <c r="J145" s="586"/>
      <c r="K145" s="586"/>
      <c r="L145" s="574"/>
    </row>
    <row r="146" spans="1:12" ht="66.75" customHeight="1" x14ac:dyDescent="0.25">
      <c r="A146" s="1528" t="s">
        <v>1075</v>
      </c>
      <c r="B146" s="1528"/>
      <c r="C146" s="1528"/>
      <c r="D146" s="1528"/>
      <c r="E146" s="1528"/>
      <c r="F146" s="1528"/>
      <c r="G146" s="1528"/>
      <c r="H146" s="586"/>
      <c r="I146" s="590"/>
      <c r="J146" s="586"/>
      <c r="K146" s="586"/>
      <c r="L146" s="574"/>
    </row>
    <row r="147" spans="1:12" ht="18" x14ac:dyDescent="0.25">
      <c r="A147" s="581"/>
      <c r="B147" s="582"/>
      <c r="C147" s="582"/>
      <c r="D147" s="582"/>
      <c r="E147" s="582"/>
      <c r="G147" s="583"/>
      <c r="H147" s="457"/>
      <c r="I147" s="583"/>
      <c r="L147" s="574"/>
    </row>
    <row r="148" spans="1:12" ht="76.5" customHeight="1" x14ac:dyDescent="0.25">
      <c r="A148" s="581"/>
      <c r="B148" s="582"/>
      <c r="C148" s="582"/>
      <c r="D148" s="1500" t="s">
        <v>1076</v>
      </c>
      <c r="E148" s="1501"/>
      <c r="F148" s="1501"/>
      <c r="G148" s="1501"/>
      <c r="H148" s="1501"/>
      <c r="I148" s="1502"/>
      <c r="L148" s="574"/>
    </row>
    <row r="149" spans="1:12" ht="57.75" customHeight="1" x14ac:dyDescent="0.25">
      <c r="A149" s="581"/>
      <c r="B149" s="582"/>
      <c r="C149" s="582"/>
      <c r="D149" s="366" t="s">
        <v>751</v>
      </c>
      <c r="E149" s="591" t="s">
        <v>736</v>
      </c>
      <c r="F149" s="592" t="s">
        <v>752</v>
      </c>
      <c r="G149" s="593" t="s">
        <v>1077</v>
      </c>
      <c r="H149" s="366" t="s">
        <v>754</v>
      </c>
      <c r="I149" s="594" t="s">
        <v>755</v>
      </c>
      <c r="L149" s="574"/>
    </row>
    <row r="150" spans="1:12" ht="18" x14ac:dyDescent="0.25">
      <c r="A150" s="581"/>
      <c r="B150" s="582"/>
      <c r="C150" s="582"/>
      <c r="D150" s="595">
        <f>+'[2]3. MATERIALIDAD FINANCIERA'!B49</f>
        <v>6</v>
      </c>
      <c r="E150" s="596" t="str">
        <f>+'[2]3. MATERIALIDAD FINANCIERA'!C49</f>
        <v>Entre &gt;2,3% y &lt;=3%</v>
      </c>
      <c r="F150" s="597" t="str">
        <f>+'MATERIALIDAD FINANCIERA'!D51</f>
        <v>Activos</v>
      </c>
      <c r="G150" s="598">
        <v>45000000000</v>
      </c>
      <c r="H150" s="596" t="str">
        <f>+'[2]3. MATERIALIDAD FINANCIERA'!F49</f>
        <v>3%</v>
      </c>
      <c r="I150" s="599">
        <f>G150*H150</f>
        <v>1350000000</v>
      </c>
      <c r="L150" s="574"/>
    </row>
    <row r="151" spans="1:12" ht="18" x14ac:dyDescent="0.25">
      <c r="A151" s="581"/>
      <c r="B151" s="582"/>
      <c r="C151" s="582"/>
      <c r="D151" s="582"/>
      <c r="E151" s="582"/>
      <c r="G151" s="583"/>
      <c r="H151" s="457"/>
      <c r="I151" s="583"/>
      <c r="L151" s="574"/>
    </row>
    <row r="152" spans="1:12" ht="54" customHeight="1" x14ac:dyDescent="0.25">
      <c r="B152" s="582"/>
      <c r="C152" s="582"/>
      <c r="D152" s="1489" t="s">
        <v>1078</v>
      </c>
      <c r="E152" s="1489"/>
      <c r="F152" s="1489"/>
      <c r="G152" s="1489"/>
      <c r="H152" s="1489"/>
      <c r="I152" s="1489"/>
      <c r="L152" s="574"/>
    </row>
    <row r="153" spans="1:12" ht="18" x14ac:dyDescent="0.25">
      <c r="A153" s="581"/>
      <c r="B153" s="582"/>
      <c r="C153" s="582"/>
      <c r="D153" s="582"/>
      <c r="E153" s="582"/>
      <c r="G153" s="583"/>
      <c r="H153" s="457"/>
      <c r="I153" s="583"/>
      <c r="L153" s="574"/>
    </row>
    <row r="154" spans="1:12" ht="18.75" thickBot="1" x14ac:dyDescent="0.3">
      <c r="A154" s="581"/>
      <c r="B154" s="582"/>
      <c r="C154" s="582"/>
      <c r="D154" s="582"/>
      <c r="E154" s="582"/>
      <c r="G154" s="583"/>
      <c r="H154" s="457"/>
      <c r="I154" s="583"/>
      <c r="L154" s="574"/>
    </row>
    <row r="155" spans="1:12" ht="39.75" customHeight="1" thickBot="1" x14ac:dyDescent="0.3">
      <c r="A155" s="1490" t="s">
        <v>1079</v>
      </c>
      <c r="B155" s="1491"/>
      <c r="C155" s="1491"/>
      <c r="D155" s="1491"/>
      <c r="E155" s="1491"/>
      <c r="F155" s="1492"/>
      <c r="G155" s="1503" t="s">
        <v>1080</v>
      </c>
      <c r="H155" s="1504"/>
      <c r="I155" s="1504"/>
      <c r="J155" s="1505"/>
      <c r="K155" s="600"/>
      <c r="L155" s="521"/>
    </row>
    <row r="156" spans="1:12" ht="59.25" customHeight="1" thickBot="1" x14ac:dyDescent="0.3">
      <c r="A156" s="1506" t="s">
        <v>1081</v>
      </c>
      <c r="B156" s="1507"/>
      <c r="C156" s="1507"/>
      <c r="D156" s="1507"/>
      <c r="E156" s="1507"/>
      <c r="F156" s="1508"/>
      <c r="G156" s="1509" t="s">
        <v>1044</v>
      </c>
      <c r="H156" s="1510"/>
      <c r="I156" s="601" t="s">
        <v>1045</v>
      </c>
      <c r="J156" s="601" t="s">
        <v>1082</v>
      </c>
      <c r="K156" s="602"/>
      <c r="L156" s="521"/>
    </row>
    <row r="157" spans="1:12" ht="63" customHeight="1" thickBot="1" x14ac:dyDescent="0.3">
      <c r="A157" s="1493" t="s">
        <v>1083</v>
      </c>
      <c r="B157" s="1494"/>
      <c r="C157" s="1494"/>
      <c r="D157" s="1494"/>
      <c r="E157" s="1494"/>
      <c r="F157" s="1495"/>
      <c r="G157" s="603" t="s">
        <v>1084</v>
      </c>
      <c r="H157" s="604" t="str">
        <f>IFERROR(IF(C144&lt;=1,"SI","NO"),"")</f>
        <v>SI</v>
      </c>
      <c r="I157" s="604" t="str">
        <f>IFERROR(IF(F144&lt;=1,"SI","NO"),"")</f>
        <v>SI</v>
      </c>
      <c r="J157" s="604" t="str">
        <f>IFERROR(IF(J144&lt;=1,"SI","NO"),"")</f>
        <v>SI</v>
      </c>
      <c r="K157" s="605"/>
      <c r="L157" s="521"/>
    </row>
    <row r="158" spans="1:12" ht="50.25" customHeight="1" thickBot="1" x14ac:dyDescent="0.3">
      <c r="A158" s="1511" t="s">
        <v>1085</v>
      </c>
      <c r="B158" s="1512"/>
      <c r="C158" s="1512"/>
      <c r="D158" s="1512"/>
      <c r="E158" s="1512"/>
      <c r="F158" s="1513"/>
      <c r="G158" s="603" t="s">
        <v>1086</v>
      </c>
      <c r="H158" s="604" t="str">
        <f>IFERROR(IF(AND(C144&gt;=1,C144&lt;5),"SI","NO"),"")</f>
        <v>NO</v>
      </c>
      <c r="I158" s="604" t="str">
        <f>IFERROR(IF(AND(F144&gt;=1,F144&lt;5),"SI","NO"),"")</f>
        <v>NO</v>
      </c>
      <c r="J158" s="604" t="str">
        <f>IFERROR(IF(AND(J144&gt;1,J144&lt;5),"SI","NO"),"")</f>
        <v>NO</v>
      </c>
      <c r="K158" s="605"/>
      <c r="L158" s="521"/>
    </row>
    <row r="159" spans="1:12" ht="54.75" customHeight="1" thickBot="1" x14ac:dyDescent="0.3">
      <c r="A159" s="1493" t="s">
        <v>1087</v>
      </c>
      <c r="B159" s="1494"/>
      <c r="C159" s="1494"/>
      <c r="D159" s="1494"/>
      <c r="E159" s="1494"/>
      <c r="F159" s="1495"/>
      <c r="G159" s="603" t="s">
        <v>1088</v>
      </c>
      <c r="H159" s="604" t="str">
        <f>IFERROR(IF(C144&gt;5,"SI","NO"),"")</f>
        <v>NO</v>
      </c>
      <c r="I159" s="604" t="str">
        <f>IFERROR(IF(F144&gt;5,"SI","NO"),"")</f>
        <v>NO</v>
      </c>
      <c r="J159" s="604" t="str">
        <f>IFERROR(IF(J144&gt;5,"SI","NO"),"")</f>
        <v>NO</v>
      </c>
      <c r="K159" s="605"/>
      <c r="L159" s="521"/>
    </row>
    <row r="160" spans="1:12" ht="94.5" customHeight="1" x14ac:dyDescent="0.25">
      <c r="A160" s="1496"/>
      <c r="B160" s="1496"/>
      <c r="C160" s="1496"/>
      <c r="D160" s="1496"/>
      <c r="E160" s="1496"/>
      <c r="F160" s="1496"/>
      <c r="G160" s="606" t="s">
        <v>1089</v>
      </c>
      <c r="H160" s="607" t="str">
        <f>IF(J144=J141,IF(C141&gt;=F141,"NO","SI"),IF(J144=J142,IF(C142&gt;=F142,"NO","SI"),""))</f>
        <v>NO</v>
      </c>
      <c r="I160" s="607" t="str">
        <f>IF(K144=K141,IF(D141&gt;=G141,"PREDOMINA INCORRECCIONES","PREDOMINA IMPOSIBILIDADES"),IF(K144=K142,IF(D142&gt;=G142,"PREDOMINA INCORRECCIONES","PREDOMINA IMPOSIBILIDADES"),""))</f>
        <v>PREDOMINA INCORRECCIONES</v>
      </c>
      <c r="L160" s="521"/>
    </row>
    <row r="161" spans="1:13" ht="151.5" customHeight="1" x14ac:dyDescent="0.25">
      <c r="B161" s="608"/>
      <c r="C161" s="608"/>
      <c r="D161" s="608"/>
      <c r="E161" s="608"/>
      <c r="F161" s="608"/>
      <c r="G161" s="1497" t="s">
        <v>1090</v>
      </c>
      <c r="H161" s="1497"/>
      <c r="I161" s="1497"/>
      <c r="J161" s="1497"/>
      <c r="L161" s="521"/>
    </row>
    <row r="162" spans="1:13" s="462" customFormat="1" ht="24" thickBot="1" x14ac:dyDescent="0.3">
      <c r="A162" s="609"/>
      <c r="B162" s="610"/>
      <c r="C162" s="610"/>
      <c r="D162" s="610"/>
      <c r="E162" s="610"/>
      <c r="F162" s="610"/>
      <c r="G162" s="611"/>
      <c r="H162" s="612"/>
      <c r="I162" s="612"/>
      <c r="L162" s="552"/>
    </row>
    <row r="163" spans="1:13" ht="87.75" customHeight="1" thickBot="1" x14ac:dyDescent="0.3">
      <c r="A163" s="1498" t="s">
        <v>1091</v>
      </c>
      <c r="B163" s="1498"/>
      <c r="C163" s="1498"/>
      <c r="D163" s="1498"/>
      <c r="E163" s="1498"/>
      <c r="F163" s="613" t="s">
        <v>1092</v>
      </c>
      <c r="G163" s="614" t="str">
        <f>IF(J157="SI","Limpia o Sin Salvedades",IF(J158="SI","Con Salvedades",IF(AND(J159="SI",H160="NO"),"Negativa",IF(AND(J159="SI",H160="SI"),"Abstención",""))))</f>
        <v>Limpia o Sin Salvedades</v>
      </c>
      <c r="H163" s="615">
        <f>IF(G163="","",IF(OR(G163="ABSTENCIÓN",G163="NEGATIVA"),0%,IF(G163="LIMPIA O SIN SALVEDADES",100%,75%)))</f>
        <v>1</v>
      </c>
      <c r="I163" s="616"/>
      <c r="J163" s="617"/>
      <c r="K163" s="618"/>
      <c r="L163" s="521"/>
    </row>
    <row r="164" spans="1:13" ht="50.25" customHeight="1" thickBot="1" x14ac:dyDescent="0.3">
      <c r="A164" s="1499"/>
      <c r="B164" s="1499"/>
      <c r="C164" s="1499"/>
      <c r="D164" s="1499"/>
      <c r="E164" s="1499"/>
      <c r="F164" s="619" t="s">
        <v>179</v>
      </c>
      <c r="G164" s="620"/>
      <c r="H164" s="621" t="str">
        <f>IF(H163="","",IF(H163&gt;=75%,"EFICAZ","INEFICAZ"))</f>
        <v>EFICAZ</v>
      </c>
      <c r="I164" s="622"/>
      <c r="J164" s="623"/>
      <c r="K164" s="624"/>
      <c r="L164" s="625"/>
    </row>
    <row r="165" spans="1:13" s="462" customFormat="1" ht="64.5" customHeight="1" x14ac:dyDescent="0.25">
      <c r="A165" s="1489" t="s">
        <v>1093</v>
      </c>
      <c r="B165" s="1489"/>
      <c r="C165" s="1489"/>
      <c r="D165" s="1489"/>
      <c r="E165" s="1489"/>
      <c r="F165" s="1489"/>
      <c r="G165" s="1489"/>
      <c r="H165" s="1489"/>
      <c r="I165" s="616"/>
      <c r="J165" s="626"/>
      <c r="K165" s="618"/>
    </row>
    <row r="166" spans="1:13" x14ac:dyDescent="0.25">
      <c r="J166" s="459"/>
      <c r="K166" s="459"/>
    </row>
    <row r="167" spans="1:13" x14ac:dyDescent="0.25">
      <c r="J167" s="459"/>
      <c r="K167" s="459"/>
    </row>
    <row r="168" spans="1:13" ht="14.25" x14ac:dyDescent="0.25">
      <c r="A168" s="2159" t="s">
        <v>774</v>
      </c>
      <c r="B168" s="2160"/>
      <c r="C168" s="2160"/>
      <c r="D168" s="2160"/>
      <c r="E168" s="2160"/>
      <c r="F168" s="2160"/>
      <c r="G168" s="2160"/>
      <c r="H168" s="2160"/>
      <c r="I168" s="2160"/>
      <c r="J168" s="2160"/>
      <c r="K168" s="2160"/>
      <c r="L168" s="2160"/>
      <c r="M168" s="2161"/>
    </row>
    <row r="169" spans="1:13" ht="14.25" x14ac:dyDescent="0.25">
      <c r="A169" s="2162"/>
      <c r="B169" s="2163"/>
      <c r="C169" s="2163"/>
      <c r="D169" s="2163"/>
      <c r="E169" s="2163"/>
      <c r="F169" s="2163"/>
      <c r="G169" s="2163"/>
      <c r="H169" s="2163"/>
      <c r="I169" s="2163"/>
      <c r="J169" s="2163"/>
      <c r="K169" s="2163"/>
      <c r="L169" s="2163"/>
      <c r="M169" s="2164"/>
    </row>
    <row r="170" spans="1:13" ht="14.25" x14ac:dyDescent="0.25">
      <c r="A170" s="2165"/>
      <c r="B170" s="2166"/>
      <c r="C170" s="2166"/>
      <c r="D170" s="2166"/>
      <c r="E170" s="2166"/>
      <c r="F170" s="2166"/>
      <c r="G170" s="2166"/>
      <c r="H170" s="2166"/>
      <c r="I170" s="2166"/>
      <c r="J170" s="2166"/>
      <c r="K170" s="2166"/>
      <c r="L170" s="2166"/>
      <c r="M170" s="2167"/>
    </row>
    <row r="171" spans="1:13" x14ac:dyDescent="0.25">
      <c r="A171" s="2168" t="s">
        <v>775</v>
      </c>
      <c r="B171" s="2169"/>
      <c r="C171" s="2169"/>
      <c r="D171" s="2169"/>
      <c r="E171" s="2169"/>
      <c r="F171" s="2169"/>
      <c r="G171" s="2169"/>
      <c r="H171" s="2169"/>
      <c r="I171" s="2169"/>
      <c r="J171" s="2170"/>
      <c r="K171" s="2171" t="s">
        <v>776</v>
      </c>
      <c r="L171" s="2171"/>
      <c r="M171" s="2171"/>
    </row>
    <row r="172" spans="1:13" x14ac:dyDescent="0.25">
      <c r="A172" s="2168" t="s">
        <v>777</v>
      </c>
      <c r="B172" s="2169"/>
      <c r="C172" s="2169"/>
      <c r="D172" s="2169"/>
      <c r="E172" s="2169"/>
      <c r="F172" s="2169"/>
      <c r="G172" s="2169"/>
      <c r="H172" s="2169"/>
      <c r="I172" s="2169"/>
      <c r="J172" s="2169"/>
      <c r="K172" s="2169"/>
      <c r="L172" s="2169"/>
      <c r="M172" s="2170"/>
    </row>
    <row r="173" spans="1:13" ht="14.25" x14ac:dyDescent="0.25">
      <c r="A173" s="2172" t="s">
        <v>778</v>
      </c>
      <c r="B173" s="2173"/>
      <c r="C173" s="2173"/>
      <c r="D173" s="2173"/>
      <c r="E173" s="2174"/>
      <c r="F173" s="2175" t="s">
        <v>779</v>
      </c>
      <c r="G173" s="2176"/>
      <c r="H173" s="2176"/>
      <c r="I173" s="2176"/>
      <c r="J173" s="2177"/>
      <c r="K173" s="2171" t="s">
        <v>780</v>
      </c>
      <c r="L173" s="2171"/>
      <c r="M173" s="2171"/>
    </row>
    <row r="174" spans="1:13" ht="14.25" x14ac:dyDescent="0.25">
      <c r="A174" s="2178"/>
      <c r="B174" s="2179"/>
      <c r="C174" s="2179"/>
      <c r="D174" s="2179"/>
      <c r="E174" s="2180"/>
      <c r="F174" s="2181"/>
      <c r="G174" s="2182"/>
      <c r="H174" s="2182"/>
      <c r="I174" s="2182"/>
      <c r="J174" s="2183"/>
      <c r="K174" s="2171"/>
      <c r="L174" s="2171"/>
      <c r="M174" s="2171"/>
    </row>
    <row r="175" spans="1:13" x14ac:dyDescent="0.25">
      <c r="A175" s="2168" t="s">
        <v>781</v>
      </c>
      <c r="B175" s="2169"/>
      <c r="C175" s="2169"/>
      <c r="D175" s="2169"/>
      <c r="E175" s="2169"/>
      <c r="F175" s="2169"/>
      <c r="G175" s="2169"/>
      <c r="H175" s="2169"/>
      <c r="I175" s="2169"/>
      <c r="J175" s="2169"/>
      <c r="K175" s="2169"/>
      <c r="L175" s="2169"/>
      <c r="M175" s="2170"/>
    </row>
    <row r="176" spans="1:13" x14ac:dyDescent="0.25">
      <c r="A176" s="2171" t="s">
        <v>778</v>
      </c>
      <c r="B176" s="2171"/>
      <c r="C176" s="2171"/>
      <c r="D176" s="2171"/>
      <c r="E176" s="2171"/>
      <c r="F176" s="2184" t="s">
        <v>782</v>
      </c>
      <c r="G176" s="2185"/>
      <c r="H176" s="2168" t="s">
        <v>783</v>
      </c>
      <c r="I176" s="2169"/>
      <c r="J176" s="2170"/>
      <c r="K176" s="2171" t="s">
        <v>784</v>
      </c>
      <c r="L176" s="2171"/>
      <c r="M176" s="2171"/>
    </row>
    <row r="177" spans="10:11" x14ac:dyDescent="0.25">
      <c r="J177" s="459"/>
      <c r="K177" s="459"/>
    </row>
    <row r="178" spans="10:11" x14ac:dyDescent="0.25">
      <c r="J178" s="459"/>
      <c r="K178" s="459"/>
    </row>
    <row r="179" spans="10:11" x14ac:dyDescent="0.25">
      <c r="J179" s="459"/>
      <c r="K179" s="459"/>
    </row>
    <row r="180" spans="10:11" x14ac:dyDescent="0.25">
      <c r="J180" s="459"/>
      <c r="K180" s="459"/>
    </row>
    <row r="181" spans="10:11" x14ac:dyDescent="0.25">
      <c r="J181" s="459"/>
      <c r="K181" s="459"/>
    </row>
    <row r="182" spans="10:11" x14ac:dyDescent="0.25">
      <c r="J182" s="459"/>
      <c r="K182" s="459"/>
    </row>
    <row r="183" spans="10:11" x14ac:dyDescent="0.25">
      <c r="J183" s="459"/>
      <c r="K183" s="459"/>
    </row>
    <row r="184" spans="10:11" x14ac:dyDescent="0.25">
      <c r="J184" s="459"/>
      <c r="K184" s="459"/>
    </row>
    <row r="185" spans="10:11" x14ac:dyDescent="0.25">
      <c r="J185" s="459"/>
      <c r="K185" s="459"/>
    </row>
    <row r="186" spans="10:11" x14ac:dyDescent="0.25">
      <c r="J186" s="459"/>
      <c r="K186" s="459"/>
    </row>
    <row r="187" spans="10:11" x14ac:dyDescent="0.25">
      <c r="J187" s="459"/>
      <c r="K187" s="459"/>
    </row>
    <row r="188" spans="10:11" x14ac:dyDescent="0.25">
      <c r="J188" s="459"/>
      <c r="K188" s="459"/>
    </row>
    <row r="189" spans="10:11" ht="21.75" customHeight="1" x14ac:dyDescent="0.25">
      <c r="J189" s="459"/>
      <c r="K189" s="459"/>
    </row>
    <row r="190" spans="10:11" x14ac:dyDescent="0.25">
      <c r="J190" s="459"/>
      <c r="K190" s="459"/>
    </row>
    <row r="191" spans="10:11" x14ac:dyDescent="0.25">
      <c r="J191" s="459"/>
      <c r="K191" s="459"/>
    </row>
    <row r="192" spans="10:11" x14ac:dyDescent="0.25">
      <c r="J192" s="459"/>
      <c r="K192" s="459"/>
    </row>
    <row r="193" spans="1:11" x14ac:dyDescent="0.25">
      <c r="A193" s="627" t="s">
        <v>1094</v>
      </c>
      <c r="B193" s="628" t="s">
        <v>941</v>
      </c>
      <c r="J193" s="459"/>
      <c r="K193" s="459"/>
    </row>
    <row r="194" spans="1:11" x14ac:dyDescent="0.25">
      <c r="A194" s="627"/>
      <c r="B194" s="629" t="s">
        <v>944</v>
      </c>
      <c r="J194" s="459"/>
      <c r="K194" s="459"/>
    </row>
    <row r="195" spans="1:11" x14ac:dyDescent="0.25">
      <c r="A195" s="457" t="s">
        <v>994</v>
      </c>
      <c r="B195" s="629" t="s">
        <v>1095</v>
      </c>
      <c r="J195" s="459"/>
      <c r="K195" s="459"/>
    </row>
    <row r="196" spans="1:11" x14ac:dyDescent="0.25">
      <c r="A196" s="457" t="s">
        <v>1000</v>
      </c>
      <c r="B196" s="629" t="s">
        <v>1096</v>
      </c>
      <c r="J196" s="459"/>
      <c r="K196" s="459"/>
    </row>
    <row r="197" spans="1:11" ht="28.5" x14ac:dyDescent="0.25">
      <c r="A197" s="457" t="s">
        <v>1023</v>
      </c>
      <c r="B197" s="629" t="s">
        <v>1097</v>
      </c>
      <c r="J197" s="459"/>
      <c r="K197" s="459"/>
    </row>
    <row r="198" spans="1:11" x14ac:dyDescent="0.25">
      <c r="A198" s="457" t="s">
        <v>1098</v>
      </c>
      <c r="B198" s="629" t="s">
        <v>1099</v>
      </c>
      <c r="J198" s="459"/>
      <c r="K198" s="459"/>
    </row>
    <row r="199" spans="1:11" x14ac:dyDescent="0.25">
      <c r="J199" s="459"/>
      <c r="K199" s="459"/>
    </row>
    <row r="200" spans="1:11" x14ac:dyDescent="0.25">
      <c r="J200" s="459"/>
      <c r="K200" s="459"/>
    </row>
    <row r="201" spans="1:11" x14ac:dyDescent="0.25">
      <c r="J201" s="459"/>
      <c r="K201" s="459"/>
    </row>
    <row r="202" spans="1:11" x14ac:dyDescent="0.25">
      <c r="J202" s="459"/>
      <c r="K202" s="459"/>
    </row>
    <row r="203" spans="1:11" x14ac:dyDescent="0.25">
      <c r="J203" s="459"/>
      <c r="K203" s="459"/>
    </row>
    <row r="204" spans="1:11" x14ac:dyDescent="0.25">
      <c r="J204" s="459"/>
      <c r="K204" s="459"/>
    </row>
    <row r="205" spans="1:11" x14ac:dyDescent="0.25">
      <c r="J205" s="459"/>
      <c r="K205" s="459"/>
    </row>
    <row r="206" spans="1:11" x14ac:dyDescent="0.25">
      <c r="J206" s="459"/>
      <c r="K206" s="459"/>
    </row>
    <row r="207" spans="1:11" x14ac:dyDescent="0.25">
      <c r="J207" s="459"/>
      <c r="K207" s="459"/>
    </row>
    <row r="208" spans="1:11" x14ac:dyDescent="0.25">
      <c r="J208" s="459"/>
      <c r="K208" s="459"/>
    </row>
    <row r="209" spans="10:11" x14ac:dyDescent="0.25">
      <c r="J209" s="459"/>
      <c r="K209" s="459"/>
    </row>
    <row r="210" spans="10:11" x14ac:dyDescent="0.25">
      <c r="J210" s="459"/>
      <c r="K210" s="459"/>
    </row>
    <row r="211" spans="10:11" x14ac:dyDescent="0.25">
      <c r="J211" s="459"/>
      <c r="K211" s="459"/>
    </row>
    <row r="212" spans="10:11" x14ac:dyDescent="0.25">
      <c r="J212" s="459"/>
      <c r="K212" s="459"/>
    </row>
    <row r="213" spans="10:11" x14ac:dyDescent="0.25">
      <c r="J213" s="459"/>
      <c r="K213" s="459"/>
    </row>
    <row r="214" spans="10:11" x14ac:dyDescent="0.25">
      <c r="J214" s="459"/>
      <c r="K214" s="459"/>
    </row>
    <row r="215" spans="10:11" x14ac:dyDescent="0.25">
      <c r="J215" s="459"/>
      <c r="K215" s="459"/>
    </row>
    <row r="216" spans="10:11" x14ac:dyDescent="0.25">
      <c r="J216" s="459"/>
      <c r="K216" s="459"/>
    </row>
    <row r="217" spans="10:11" x14ac:dyDescent="0.25">
      <c r="J217" s="459"/>
      <c r="K217" s="459"/>
    </row>
    <row r="218" spans="10:11" x14ac:dyDescent="0.25">
      <c r="J218" s="459"/>
      <c r="K218" s="459"/>
    </row>
    <row r="219" spans="10:11" x14ac:dyDescent="0.25">
      <c r="J219" s="459"/>
      <c r="K219" s="459"/>
    </row>
    <row r="220" spans="10:11" x14ac:dyDescent="0.25">
      <c r="J220" s="459"/>
      <c r="K220" s="459"/>
    </row>
    <row r="221" spans="10:11" x14ac:dyDescent="0.25">
      <c r="J221" s="459"/>
      <c r="K221" s="459"/>
    </row>
    <row r="222" spans="10:11" x14ac:dyDescent="0.25">
      <c r="J222" s="459"/>
      <c r="K222" s="459"/>
    </row>
    <row r="223" spans="10:11" x14ac:dyDescent="0.25">
      <c r="J223" s="459"/>
      <c r="K223" s="459"/>
    </row>
    <row r="224" spans="10:11" x14ac:dyDescent="0.25">
      <c r="J224" s="459"/>
      <c r="K224" s="459"/>
    </row>
    <row r="225" spans="10:11" x14ac:dyDescent="0.25">
      <c r="J225" s="459"/>
      <c r="K225" s="459"/>
    </row>
    <row r="226" spans="10:11" x14ac:dyDescent="0.25">
      <c r="J226" s="459"/>
      <c r="K226" s="459"/>
    </row>
    <row r="227" spans="10:11" x14ac:dyDescent="0.25">
      <c r="J227" s="459"/>
      <c r="K227" s="459"/>
    </row>
    <row r="228" spans="10:11" x14ac:dyDescent="0.25">
      <c r="J228" s="459"/>
      <c r="K228" s="459"/>
    </row>
    <row r="229" spans="10:11" x14ac:dyDescent="0.25">
      <c r="J229" s="459"/>
      <c r="K229" s="459"/>
    </row>
    <row r="230" spans="10:11" x14ac:dyDescent="0.25">
      <c r="J230" s="459"/>
      <c r="K230" s="459"/>
    </row>
    <row r="231" spans="10:11" x14ac:dyDescent="0.25">
      <c r="J231" s="459"/>
      <c r="K231" s="459"/>
    </row>
    <row r="232" spans="10:11" x14ac:dyDescent="0.25">
      <c r="J232" s="459"/>
      <c r="K232" s="459"/>
    </row>
    <row r="233" spans="10:11" x14ac:dyDescent="0.25">
      <c r="J233" s="459"/>
      <c r="K233" s="459"/>
    </row>
    <row r="234" spans="10:11" x14ac:dyDescent="0.25">
      <c r="J234" s="459"/>
      <c r="K234" s="459"/>
    </row>
    <row r="235" spans="10:11" x14ac:dyDescent="0.25">
      <c r="J235" s="459"/>
      <c r="K235" s="459"/>
    </row>
    <row r="236" spans="10:11" x14ac:dyDescent="0.25">
      <c r="J236" s="459"/>
      <c r="K236" s="459"/>
    </row>
    <row r="237" spans="10:11" x14ac:dyDescent="0.25">
      <c r="J237" s="459"/>
      <c r="K237" s="459"/>
    </row>
    <row r="238" spans="10:11" x14ac:dyDescent="0.25">
      <c r="J238" s="459"/>
      <c r="K238" s="459"/>
    </row>
    <row r="239" spans="10:11" x14ac:dyDescent="0.25">
      <c r="J239" s="459"/>
      <c r="K239" s="459"/>
    </row>
    <row r="240" spans="10:11" x14ac:dyDescent="0.25">
      <c r="J240" s="459"/>
      <c r="K240" s="459"/>
    </row>
    <row r="241" spans="10:11" x14ac:dyDescent="0.25">
      <c r="J241" s="459"/>
      <c r="K241" s="459"/>
    </row>
    <row r="242" spans="10:11" x14ac:dyDescent="0.25">
      <c r="J242" s="459"/>
      <c r="K242" s="459"/>
    </row>
    <row r="243" spans="10:11" x14ac:dyDescent="0.25">
      <c r="J243" s="459"/>
      <c r="K243" s="459"/>
    </row>
    <row r="244" spans="10:11" x14ac:dyDescent="0.25">
      <c r="J244" s="459"/>
      <c r="K244" s="459"/>
    </row>
    <row r="245" spans="10:11" x14ac:dyDescent="0.25">
      <c r="J245" s="459"/>
      <c r="K245" s="459"/>
    </row>
    <row r="246" spans="10:11" x14ac:dyDescent="0.25">
      <c r="J246" s="459"/>
      <c r="K246" s="459"/>
    </row>
    <row r="247" spans="10:11" x14ac:dyDescent="0.25">
      <c r="J247" s="459"/>
      <c r="K247" s="459"/>
    </row>
    <row r="248" spans="10:11" x14ac:dyDescent="0.25">
      <c r="J248" s="459"/>
      <c r="K248" s="459"/>
    </row>
    <row r="249" spans="10:11" x14ac:dyDescent="0.25">
      <c r="J249" s="459"/>
      <c r="K249" s="459"/>
    </row>
    <row r="250" spans="10:11" x14ac:dyDescent="0.25">
      <c r="J250" s="459"/>
      <c r="K250" s="459"/>
    </row>
    <row r="251" spans="10:11" x14ac:dyDescent="0.25">
      <c r="J251" s="459"/>
      <c r="K251" s="459"/>
    </row>
    <row r="252" spans="10:11" x14ac:dyDescent="0.25">
      <c r="J252" s="459"/>
      <c r="K252" s="459"/>
    </row>
    <row r="253" spans="10:11" x14ac:dyDescent="0.25">
      <c r="J253" s="459"/>
      <c r="K253" s="459"/>
    </row>
    <row r="254" spans="10:11" x14ac:dyDescent="0.25">
      <c r="J254" s="459"/>
      <c r="K254" s="459"/>
    </row>
    <row r="255" spans="10:11" x14ac:dyDescent="0.25">
      <c r="J255" s="459"/>
      <c r="K255" s="459"/>
    </row>
    <row r="256" spans="10:11" x14ac:dyDescent="0.25">
      <c r="J256" s="459"/>
      <c r="K256" s="459"/>
    </row>
    <row r="257" spans="10:11" x14ac:dyDescent="0.25">
      <c r="J257" s="459"/>
      <c r="K257" s="459"/>
    </row>
    <row r="258" spans="10:11" x14ac:dyDescent="0.25">
      <c r="J258" s="459"/>
      <c r="K258" s="459"/>
    </row>
    <row r="259" spans="10:11" x14ac:dyDescent="0.25">
      <c r="J259" s="459"/>
      <c r="K259" s="459"/>
    </row>
    <row r="260" spans="10:11" x14ac:dyDescent="0.25">
      <c r="J260" s="459"/>
      <c r="K260" s="459"/>
    </row>
    <row r="261" spans="10:11" x14ac:dyDescent="0.25">
      <c r="J261" s="459"/>
      <c r="K261" s="459"/>
    </row>
    <row r="262" spans="10:11" x14ac:dyDescent="0.25">
      <c r="J262" s="459"/>
      <c r="K262" s="459"/>
    </row>
    <row r="263" spans="10:11" x14ac:dyDescent="0.25">
      <c r="J263" s="459"/>
      <c r="K263" s="459"/>
    </row>
    <row r="264" spans="10:11" x14ac:dyDescent="0.25">
      <c r="J264" s="459"/>
      <c r="K264" s="459"/>
    </row>
    <row r="265" spans="10:11" x14ac:dyDescent="0.25">
      <c r="J265" s="459"/>
      <c r="K265" s="459"/>
    </row>
    <row r="266" spans="10:11" x14ac:dyDescent="0.25">
      <c r="J266" s="459"/>
      <c r="K266" s="459"/>
    </row>
    <row r="267" spans="10:11" x14ac:dyDescent="0.25">
      <c r="J267" s="459"/>
      <c r="K267" s="459"/>
    </row>
    <row r="268" spans="10:11" x14ac:dyDescent="0.25">
      <c r="J268" s="459"/>
      <c r="K268" s="459"/>
    </row>
    <row r="269" spans="10:11" x14ac:dyDescent="0.25">
      <c r="J269" s="459"/>
      <c r="K269" s="459"/>
    </row>
    <row r="270" spans="10:11" x14ac:dyDescent="0.25">
      <c r="J270" s="459"/>
      <c r="K270" s="459"/>
    </row>
    <row r="271" spans="10:11" x14ac:dyDescent="0.25">
      <c r="J271" s="459"/>
      <c r="K271" s="459"/>
    </row>
    <row r="272" spans="10:11" x14ac:dyDescent="0.25">
      <c r="J272" s="459"/>
      <c r="K272" s="459"/>
    </row>
    <row r="273" spans="10:11" x14ac:dyDescent="0.25">
      <c r="J273" s="459"/>
      <c r="K273" s="459"/>
    </row>
    <row r="274" spans="10:11" x14ac:dyDescent="0.25">
      <c r="J274" s="459"/>
      <c r="K274" s="459"/>
    </row>
    <row r="275" spans="10:11" x14ac:dyDescent="0.25">
      <c r="J275" s="459"/>
      <c r="K275" s="459"/>
    </row>
    <row r="276" spans="10:11" x14ac:dyDescent="0.25">
      <c r="J276" s="459"/>
      <c r="K276" s="459"/>
    </row>
    <row r="277" spans="10:11" x14ac:dyDescent="0.25">
      <c r="J277" s="459"/>
      <c r="K277" s="459"/>
    </row>
    <row r="278" spans="10:11" x14ac:dyDescent="0.25">
      <c r="J278" s="459"/>
      <c r="K278" s="459"/>
    </row>
    <row r="279" spans="10:11" x14ac:dyDescent="0.25">
      <c r="J279" s="459"/>
      <c r="K279" s="459"/>
    </row>
    <row r="280" spans="10:11" x14ac:dyDescent="0.25">
      <c r="J280" s="459"/>
      <c r="K280" s="459"/>
    </row>
    <row r="281" spans="10:11" x14ac:dyDescent="0.25">
      <c r="J281" s="459"/>
      <c r="K281" s="459"/>
    </row>
    <row r="282" spans="10:11" x14ac:dyDescent="0.25">
      <c r="J282" s="459"/>
      <c r="K282" s="459"/>
    </row>
    <row r="283" spans="10:11" x14ac:dyDescent="0.25">
      <c r="J283" s="459"/>
      <c r="K283" s="459"/>
    </row>
    <row r="284" spans="10:11" x14ac:dyDescent="0.25">
      <c r="J284" s="459"/>
      <c r="K284" s="459"/>
    </row>
    <row r="285" spans="10:11" x14ac:dyDescent="0.25">
      <c r="J285" s="459"/>
      <c r="K285" s="459"/>
    </row>
    <row r="286" spans="10:11" x14ac:dyDescent="0.25">
      <c r="J286" s="459"/>
      <c r="K286" s="459"/>
    </row>
    <row r="287" spans="10:11" x14ac:dyDescent="0.25">
      <c r="J287" s="459"/>
      <c r="K287" s="459"/>
    </row>
    <row r="288" spans="10:11" x14ac:dyDescent="0.25">
      <c r="J288" s="459"/>
      <c r="K288" s="459"/>
    </row>
    <row r="289" spans="10:11" x14ac:dyDescent="0.25">
      <c r="J289" s="459"/>
      <c r="K289" s="459"/>
    </row>
    <row r="290" spans="10:11" x14ac:dyDescent="0.25">
      <c r="J290" s="459"/>
      <c r="K290" s="459"/>
    </row>
    <row r="291" spans="10:11" x14ac:dyDescent="0.25">
      <c r="J291" s="459"/>
      <c r="K291" s="459"/>
    </row>
    <row r="292" spans="10:11" x14ac:dyDescent="0.25">
      <c r="J292" s="459"/>
      <c r="K292" s="459"/>
    </row>
    <row r="293" spans="10:11" x14ac:dyDescent="0.25">
      <c r="J293" s="459"/>
      <c r="K293" s="459"/>
    </row>
    <row r="294" spans="10:11" x14ac:dyDescent="0.25">
      <c r="J294" s="459"/>
      <c r="K294" s="459"/>
    </row>
    <row r="295" spans="10:11" x14ac:dyDescent="0.25">
      <c r="J295" s="459"/>
      <c r="K295" s="459"/>
    </row>
    <row r="296" spans="10:11" x14ac:dyDescent="0.25">
      <c r="J296" s="459"/>
      <c r="K296" s="459"/>
    </row>
    <row r="297" spans="10:11" x14ac:dyDescent="0.25">
      <c r="J297" s="459"/>
      <c r="K297" s="459"/>
    </row>
    <row r="298" spans="10:11" x14ac:dyDescent="0.25">
      <c r="J298" s="459"/>
      <c r="K298" s="459"/>
    </row>
    <row r="299" spans="10:11" x14ac:dyDescent="0.25">
      <c r="J299" s="459"/>
      <c r="K299" s="459"/>
    </row>
    <row r="300" spans="10:11" x14ac:dyDescent="0.25">
      <c r="J300" s="459"/>
      <c r="K300" s="459"/>
    </row>
    <row r="301" spans="10:11" x14ac:dyDescent="0.25">
      <c r="J301" s="459"/>
      <c r="K301" s="459"/>
    </row>
    <row r="302" spans="10:11" x14ac:dyDescent="0.25">
      <c r="J302" s="459"/>
      <c r="K302" s="459"/>
    </row>
    <row r="303" spans="10:11" x14ac:dyDescent="0.25">
      <c r="J303" s="459"/>
      <c r="K303" s="459"/>
    </row>
    <row r="304" spans="10:11" x14ac:dyDescent="0.25">
      <c r="J304" s="459"/>
      <c r="K304" s="459"/>
    </row>
    <row r="305" spans="10:11" x14ac:dyDescent="0.25">
      <c r="J305" s="459"/>
      <c r="K305" s="459"/>
    </row>
    <row r="306" spans="10:11" x14ac:dyDescent="0.25">
      <c r="J306" s="459"/>
      <c r="K306" s="459"/>
    </row>
    <row r="307" spans="10:11" x14ac:dyDescent="0.25">
      <c r="J307" s="459"/>
      <c r="K307" s="459"/>
    </row>
    <row r="308" spans="10:11" x14ac:dyDescent="0.25">
      <c r="J308" s="459"/>
      <c r="K308" s="459"/>
    </row>
    <row r="309" spans="10:11" x14ac:dyDescent="0.25">
      <c r="J309" s="459"/>
      <c r="K309" s="459"/>
    </row>
    <row r="310" spans="10:11" x14ac:dyDescent="0.25">
      <c r="J310" s="459"/>
      <c r="K310" s="459"/>
    </row>
    <row r="311" spans="10:11" x14ac:dyDescent="0.25">
      <c r="J311" s="459"/>
      <c r="K311" s="459"/>
    </row>
    <row r="312" spans="10:11" x14ac:dyDescent="0.25">
      <c r="J312" s="459"/>
      <c r="K312" s="459"/>
    </row>
    <row r="313" spans="10:11" x14ac:dyDescent="0.25">
      <c r="J313" s="459"/>
      <c r="K313" s="459"/>
    </row>
    <row r="314" spans="10:11" x14ac:dyDescent="0.25">
      <c r="J314" s="459"/>
      <c r="K314" s="459"/>
    </row>
    <row r="315" spans="10:11" x14ac:dyDescent="0.25">
      <c r="J315" s="459"/>
      <c r="K315" s="459"/>
    </row>
    <row r="316" spans="10:11" x14ac:dyDescent="0.25">
      <c r="J316" s="459"/>
      <c r="K316" s="459"/>
    </row>
    <row r="317" spans="10:11" x14ac:dyDescent="0.25">
      <c r="J317" s="459"/>
      <c r="K317" s="459"/>
    </row>
    <row r="318" spans="10:11" x14ac:dyDescent="0.25">
      <c r="J318" s="459"/>
      <c r="K318" s="459"/>
    </row>
    <row r="319" spans="10:11" x14ac:dyDescent="0.25">
      <c r="J319" s="459"/>
      <c r="K319" s="459"/>
    </row>
    <row r="320" spans="10:11" x14ac:dyDescent="0.25">
      <c r="J320" s="459"/>
      <c r="K320" s="459"/>
    </row>
    <row r="321" spans="10:11" x14ac:dyDescent="0.25">
      <c r="J321" s="459"/>
      <c r="K321" s="459"/>
    </row>
    <row r="322" spans="10:11" x14ac:dyDescent="0.25">
      <c r="J322" s="459"/>
      <c r="K322" s="459"/>
    </row>
    <row r="323" spans="10:11" x14ac:dyDescent="0.25">
      <c r="J323" s="459"/>
      <c r="K323" s="459"/>
    </row>
    <row r="324" spans="10:11" x14ac:dyDescent="0.25">
      <c r="J324" s="459"/>
      <c r="K324" s="459"/>
    </row>
    <row r="325" spans="10:11" x14ac:dyDescent="0.25">
      <c r="J325" s="459"/>
      <c r="K325" s="459"/>
    </row>
    <row r="326" spans="10:11" x14ac:dyDescent="0.25">
      <c r="J326" s="459"/>
      <c r="K326" s="459"/>
    </row>
    <row r="327" spans="10:11" x14ac:dyDescent="0.25">
      <c r="J327" s="459"/>
      <c r="K327" s="459"/>
    </row>
    <row r="328" spans="10:11" x14ac:dyDescent="0.25">
      <c r="J328" s="459"/>
      <c r="K328" s="459"/>
    </row>
    <row r="329" spans="10:11" x14ac:dyDescent="0.25">
      <c r="J329" s="459"/>
      <c r="K329" s="459"/>
    </row>
    <row r="330" spans="10:11" x14ac:dyDescent="0.25">
      <c r="J330" s="459"/>
      <c r="K330" s="459"/>
    </row>
    <row r="331" spans="10:11" x14ac:dyDescent="0.25">
      <c r="J331" s="459"/>
      <c r="K331" s="459"/>
    </row>
    <row r="332" spans="10:11" x14ac:dyDescent="0.25">
      <c r="J332" s="459"/>
      <c r="K332" s="459"/>
    </row>
    <row r="333" spans="10:11" x14ac:dyDescent="0.25">
      <c r="J333" s="459"/>
      <c r="K333" s="459"/>
    </row>
    <row r="334" spans="10:11" x14ac:dyDescent="0.25">
      <c r="J334" s="459"/>
      <c r="K334" s="459"/>
    </row>
    <row r="335" spans="10:11" x14ac:dyDescent="0.25">
      <c r="J335" s="459"/>
      <c r="K335" s="459"/>
    </row>
    <row r="336" spans="10:11" x14ac:dyDescent="0.25">
      <c r="J336" s="459"/>
      <c r="K336" s="459"/>
    </row>
    <row r="337" spans="10:11" x14ac:dyDescent="0.25">
      <c r="J337" s="459"/>
      <c r="K337" s="459"/>
    </row>
    <row r="338" spans="10:11" x14ac:dyDescent="0.25">
      <c r="J338" s="459"/>
      <c r="K338" s="459"/>
    </row>
    <row r="339" spans="10:11" x14ac:dyDescent="0.25">
      <c r="J339" s="459"/>
      <c r="K339" s="459"/>
    </row>
    <row r="340" spans="10:11" x14ac:dyDescent="0.25">
      <c r="J340" s="459"/>
      <c r="K340" s="459"/>
    </row>
    <row r="341" spans="10:11" x14ac:dyDescent="0.25">
      <c r="J341" s="459"/>
      <c r="K341" s="459"/>
    </row>
    <row r="342" spans="10:11" x14ac:dyDescent="0.25">
      <c r="J342" s="459"/>
      <c r="K342" s="459"/>
    </row>
    <row r="343" spans="10:11" x14ac:dyDescent="0.25">
      <c r="J343" s="459"/>
      <c r="K343" s="459"/>
    </row>
    <row r="344" spans="10:11" x14ac:dyDescent="0.25">
      <c r="J344" s="459"/>
      <c r="K344" s="459"/>
    </row>
    <row r="345" spans="10:11" x14ac:dyDescent="0.25">
      <c r="J345" s="459"/>
      <c r="K345" s="459"/>
    </row>
    <row r="346" spans="10:11" x14ac:dyDescent="0.25">
      <c r="J346" s="459"/>
      <c r="K346" s="459"/>
    </row>
    <row r="347" spans="10:11" x14ac:dyDescent="0.25">
      <c r="J347" s="459"/>
      <c r="K347" s="459"/>
    </row>
    <row r="348" spans="10:11" x14ac:dyDescent="0.25">
      <c r="J348" s="459"/>
      <c r="K348" s="459"/>
    </row>
    <row r="349" spans="10:11" x14ac:dyDescent="0.25">
      <c r="J349" s="459"/>
      <c r="K349" s="459"/>
    </row>
    <row r="350" spans="10:11" x14ac:dyDescent="0.25">
      <c r="J350" s="459"/>
      <c r="K350" s="459"/>
    </row>
    <row r="351" spans="10:11" x14ac:dyDescent="0.25">
      <c r="J351" s="459"/>
      <c r="K351" s="459"/>
    </row>
    <row r="352" spans="10:11" x14ac:dyDescent="0.25">
      <c r="J352" s="459"/>
      <c r="K352" s="459"/>
    </row>
    <row r="353" spans="10:11" x14ac:dyDescent="0.25">
      <c r="J353" s="459"/>
      <c r="K353" s="459"/>
    </row>
    <row r="354" spans="10:11" x14ac:dyDescent="0.25">
      <c r="J354" s="459"/>
      <c r="K354" s="459"/>
    </row>
    <row r="355" spans="10:11" x14ac:dyDescent="0.25">
      <c r="J355" s="459"/>
      <c r="K355" s="459"/>
    </row>
    <row r="356" spans="10:11" x14ac:dyDescent="0.25">
      <c r="J356" s="459"/>
      <c r="K356" s="459"/>
    </row>
    <row r="357" spans="10:11" x14ac:dyDescent="0.25">
      <c r="J357" s="459"/>
      <c r="K357" s="459"/>
    </row>
    <row r="358" spans="10:11" x14ac:dyDescent="0.25">
      <c r="J358" s="459"/>
      <c r="K358" s="459"/>
    </row>
    <row r="359" spans="10:11" x14ac:dyDescent="0.25">
      <c r="J359" s="459"/>
      <c r="K359" s="459"/>
    </row>
    <row r="360" spans="10:11" x14ac:dyDescent="0.25">
      <c r="J360" s="459"/>
      <c r="K360" s="459"/>
    </row>
    <row r="361" spans="10:11" x14ac:dyDescent="0.25">
      <c r="J361" s="459"/>
      <c r="K361" s="459"/>
    </row>
    <row r="362" spans="10:11" x14ac:dyDescent="0.25">
      <c r="J362" s="459"/>
      <c r="K362" s="459"/>
    </row>
    <row r="363" spans="10:11" x14ac:dyDescent="0.25">
      <c r="J363" s="459"/>
      <c r="K363" s="459"/>
    </row>
    <row r="364" spans="10:11" x14ac:dyDescent="0.25">
      <c r="J364" s="459"/>
      <c r="K364" s="459"/>
    </row>
    <row r="365" spans="10:11" x14ac:dyDescent="0.25">
      <c r="J365" s="459"/>
      <c r="K365" s="459"/>
    </row>
    <row r="366" spans="10:11" x14ac:dyDescent="0.25">
      <c r="J366" s="459"/>
      <c r="K366" s="459"/>
    </row>
    <row r="367" spans="10:11" x14ac:dyDescent="0.25">
      <c r="J367" s="459"/>
      <c r="K367" s="459"/>
    </row>
    <row r="368" spans="10:11" x14ac:dyDescent="0.25">
      <c r="J368" s="459"/>
      <c r="K368" s="459"/>
    </row>
    <row r="369" spans="10:11" x14ac:dyDescent="0.25">
      <c r="J369" s="459"/>
      <c r="K369" s="459"/>
    </row>
    <row r="370" spans="10:11" x14ac:dyDescent="0.25">
      <c r="J370" s="459"/>
      <c r="K370" s="459"/>
    </row>
    <row r="371" spans="10:11" x14ac:dyDescent="0.25">
      <c r="J371" s="459"/>
      <c r="K371" s="459"/>
    </row>
    <row r="372" spans="10:11" x14ac:dyDescent="0.25">
      <c r="J372" s="459"/>
      <c r="K372" s="459"/>
    </row>
    <row r="373" spans="10:11" x14ac:dyDescent="0.25">
      <c r="J373" s="459"/>
      <c r="K373" s="459"/>
    </row>
    <row r="374" spans="10:11" x14ac:dyDescent="0.25">
      <c r="J374" s="459"/>
      <c r="K374" s="459"/>
    </row>
    <row r="375" spans="10:11" x14ac:dyDescent="0.25">
      <c r="J375" s="459"/>
      <c r="K375" s="459"/>
    </row>
    <row r="376" spans="10:11" x14ac:dyDescent="0.25">
      <c r="J376" s="459"/>
      <c r="K376" s="459"/>
    </row>
    <row r="377" spans="10:11" x14ac:dyDescent="0.25">
      <c r="J377" s="459"/>
      <c r="K377" s="459"/>
    </row>
    <row r="378" spans="10:11" x14ac:dyDescent="0.25">
      <c r="J378" s="459"/>
      <c r="K378" s="459"/>
    </row>
    <row r="379" spans="10:11" x14ac:dyDescent="0.25">
      <c r="J379" s="459"/>
      <c r="K379" s="459"/>
    </row>
    <row r="380" spans="10:11" x14ac:dyDescent="0.25">
      <c r="J380" s="459"/>
      <c r="K380" s="459"/>
    </row>
    <row r="381" spans="10:11" x14ac:dyDescent="0.25">
      <c r="J381" s="459"/>
      <c r="K381" s="459"/>
    </row>
    <row r="382" spans="10:11" x14ac:dyDescent="0.25">
      <c r="J382" s="459"/>
      <c r="K382" s="459"/>
    </row>
    <row r="383" spans="10:11" x14ac:dyDescent="0.25">
      <c r="J383" s="459"/>
      <c r="K383" s="459"/>
    </row>
    <row r="384" spans="10:11" x14ac:dyDescent="0.25">
      <c r="J384" s="459"/>
      <c r="K384" s="459"/>
    </row>
    <row r="385" spans="10:11" x14ac:dyDescent="0.25">
      <c r="J385" s="459"/>
      <c r="K385" s="459"/>
    </row>
    <row r="386" spans="10:11" x14ac:dyDescent="0.25">
      <c r="J386" s="459"/>
      <c r="K386" s="459"/>
    </row>
    <row r="387" spans="10:11" x14ac:dyDescent="0.25">
      <c r="J387" s="459"/>
      <c r="K387" s="459"/>
    </row>
    <row r="388" spans="10:11" x14ac:dyDescent="0.25">
      <c r="J388" s="459"/>
      <c r="K388" s="459"/>
    </row>
    <row r="389" spans="10:11" x14ac:dyDescent="0.25">
      <c r="J389" s="459"/>
      <c r="K389" s="459"/>
    </row>
    <row r="390" spans="10:11" x14ac:dyDescent="0.25">
      <c r="J390" s="459"/>
      <c r="K390" s="459"/>
    </row>
    <row r="391" spans="10:11" x14ac:dyDescent="0.25">
      <c r="J391" s="459"/>
      <c r="K391" s="459"/>
    </row>
    <row r="392" spans="10:11" x14ac:dyDescent="0.25">
      <c r="J392" s="459"/>
      <c r="K392" s="459"/>
    </row>
    <row r="393" spans="10:11" x14ac:dyDescent="0.25">
      <c r="J393" s="459"/>
      <c r="K393" s="459"/>
    </row>
    <row r="394" spans="10:11" x14ac:dyDescent="0.25">
      <c r="J394" s="459"/>
      <c r="K394" s="459"/>
    </row>
    <row r="395" spans="10:11" x14ac:dyDescent="0.25">
      <c r="J395" s="459"/>
      <c r="K395" s="459"/>
    </row>
    <row r="396" spans="10:11" x14ac:dyDescent="0.25">
      <c r="J396" s="459"/>
      <c r="K396" s="459"/>
    </row>
    <row r="397" spans="10:11" x14ac:dyDescent="0.25">
      <c r="J397" s="459"/>
      <c r="K397" s="459"/>
    </row>
    <row r="398" spans="10:11" x14ac:dyDescent="0.25">
      <c r="J398" s="459"/>
      <c r="K398" s="459"/>
    </row>
    <row r="399" spans="10:11" x14ac:dyDescent="0.25">
      <c r="J399" s="459"/>
      <c r="K399" s="459"/>
    </row>
    <row r="400" spans="10:11" x14ac:dyDescent="0.25">
      <c r="J400" s="459"/>
      <c r="K400" s="459"/>
    </row>
    <row r="401" spans="10:11" x14ac:dyDescent="0.25">
      <c r="J401" s="459"/>
      <c r="K401" s="459"/>
    </row>
    <row r="402" spans="10:11" x14ac:dyDescent="0.25">
      <c r="J402" s="459"/>
      <c r="K402" s="459"/>
    </row>
    <row r="403" spans="10:11" x14ac:dyDescent="0.25">
      <c r="J403" s="459"/>
      <c r="K403" s="459"/>
    </row>
    <row r="404" spans="10:11" x14ac:dyDescent="0.25">
      <c r="J404" s="459"/>
      <c r="K404" s="459"/>
    </row>
    <row r="405" spans="10:11" x14ac:dyDescent="0.25">
      <c r="J405" s="459"/>
      <c r="K405" s="459"/>
    </row>
    <row r="406" spans="10:11" x14ac:dyDescent="0.25">
      <c r="J406" s="459"/>
      <c r="K406" s="459"/>
    </row>
    <row r="407" spans="10:11" x14ac:dyDescent="0.25">
      <c r="J407" s="459"/>
      <c r="K407" s="459"/>
    </row>
    <row r="408" spans="10:11" x14ac:dyDescent="0.25">
      <c r="J408" s="459"/>
      <c r="K408" s="459"/>
    </row>
    <row r="409" spans="10:11" x14ac:dyDescent="0.25">
      <c r="J409" s="459"/>
      <c r="K409" s="459"/>
    </row>
    <row r="410" spans="10:11" x14ac:dyDescent="0.25">
      <c r="J410" s="459"/>
      <c r="K410" s="459"/>
    </row>
    <row r="411" spans="10:11" x14ac:dyDescent="0.25">
      <c r="J411" s="459"/>
      <c r="K411" s="459"/>
    </row>
    <row r="412" spans="10:11" x14ac:dyDescent="0.25">
      <c r="J412" s="459"/>
      <c r="K412" s="459"/>
    </row>
    <row r="413" spans="10:11" x14ac:dyDescent="0.25">
      <c r="J413" s="459"/>
      <c r="K413" s="459"/>
    </row>
    <row r="414" spans="10:11" x14ac:dyDescent="0.25">
      <c r="J414" s="459"/>
      <c r="K414" s="459"/>
    </row>
    <row r="415" spans="10:11" x14ac:dyDescent="0.25">
      <c r="J415" s="459"/>
      <c r="K415" s="459"/>
    </row>
    <row r="416" spans="10:11" x14ac:dyDescent="0.25">
      <c r="J416" s="459"/>
      <c r="K416" s="459"/>
    </row>
    <row r="417" spans="10:11" x14ac:dyDescent="0.25">
      <c r="J417" s="459"/>
      <c r="K417" s="459"/>
    </row>
    <row r="418" spans="10:11" x14ac:dyDescent="0.25">
      <c r="J418" s="459"/>
      <c r="K418" s="459"/>
    </row>
    <row r="419" spans="10:11" x14ac:dyDescent="0.25">
      <c r="J419" s="459"/>
      <c r="K419" s="459"/>
    </row>
    <row r="420" spans="10:11" x14ac:dyDescent="0.25">
      <c r="J420" s="459"/>
      <c r="K420" s="459"/>
    </row>
    <row r="421" spans="10:11" x14ac:dyDescent="0.25">
      <c r="J421" s="459"/>
      <c r="K421" s="459"/>
    </row>
    <row r="422" spans="10:11" x14ac:dyDescent="0.25">
      <c r="J422" s="459"/>
      <c r="K422" s="459"/>
    </row>
    <row r="423" spans="10:11" x14ac:dyDescent="0.25">
      <c r="J423" s="459"/>
      <c r="K423" s="459"/>
    </row>
    <row r="424" spans="10:11" x14ac:dyDescent="0.25">
      <c r="J424" s="459"/>
      <c r="K424" s="459"/>
    </row>
    <row r="425" spans="10:11" x14ac:dyDescent="0.25">
      <c r="J425" s="459"/>
      <c r="K425" s="459"/>
    </row>
    <row r="426" spans="10:11" x14ac:dyDescent="0.25">
      <c r="J426" s="459"/>
      <c r="K426" s="459"/>
    </row>
    <row r="427" spans="10:11" x14ac:dyDescent="0.25">
      <c r="J427" s="459"/>
      <c r="K427" s="459"/>
    </row>
    <row r="428" spans="10:11" x14ac:dyDescent="0.25">
      <c r="J428" s="459"/>
      <c r="K428" s="459"/>
    </row>
    <row r="429" spans="10:11" x14ac:dyDescent="0.25">
      <c r="J429" s="459"/>
      <c r="K429" s="459"/>
    </row>
    <row r="430" spans="10:11" x14ac:dyDescent="0.25">
      <c r="J430" s="459"/>
      <c r="K430" s="459"/>
    </row>
    <row r="431" spans="10:11" x14ac:dyDescent="0.25">
      <c r="J431" s="459"/>
      <c r="K431" s="459"/>
    </row>
    <row r="432" spans="10:11" x14ac:dyDescent="0.25">
      <c r="J432" s="459"/>
      <c r="K432" s="459"/>
    </row>
    <row r="433" spans="10:11" x14ac:dyDescent="0.25">
      <c r="J433" s="459"/>
      <c r="K433" s="459"/>
    </row>
    <row r="434" spans="10:11" x14ac:dyDescent="0.25">
      <c r="J434" s="459"/>
      <c r="K434" s="459"/>
    </row>
    <row r="435" spans="10:11" x14ac:dyDescent="0.25">
      <c r="J435" s="459"/>
      <c r="K435" s="459"/>
    </row>
    <row r="436" spans="10:11" x14ac:dyDescent="0.25">
      <c r="J436" s="459"/>
      <c r="K436" s="459"/>
    </row>
    <row r="437" spans="10:11" x14ac:dyDescent="0.25">
      <c r="J437" s="459"/>
      <c r="K437" s="459"/>
    </row>
    <row r="438" spans="10:11" x14ac:dyDescent="0.25">
      <c r="J438" s="459"/>
      <c r="K438" s="459"/>
    </row>
    <row r="439" spans="10:11" x14ac:dyDescent="0.25">
      <c r="J439" s="459"/>
      <c r="K439" s="459"/>
    </row>
    <row r="440" spans="10:11" x14ac:dyDescent="0.25">
      <c r="J440" s="459"/>
      <c r="K440" s="459"/>
    </row>
    <row r="441" spans="10:11" x14ac:dyDescent="0.25">
      <c r="J441" s="459"/>
      <c r="K441" s="459"/>
    </row>
    <row r="442" spans="10:11" x14ac:dyDescent="0.25">
      <c r="J442" s="459"/>
      <c r="K442" s="459"/>
    </row>
    <row r="443" spans="10:11" x14ac:dyDescent="0.25">
      <c r="J443" s="459"/>
      <c r="K443" s="459"/>
    </row>
    <row r="444" spans="10:11" x14ac:dyDescent="0.25">
      <c r="J444" s="459"/>
      <c r="K444" s="459"/>
    </row>
    <row r="445" spans="10:11" x14ac:dyDescent="0.25">
      <c r="J445" s="459"/>
      <c r="K445" s="459"/>
    </row>
    <row r="446" spans="10:11" x14ac:dyDescent="0.25">
      <c r="J446" s="459"/>
      <c r="K446" s="459"/>
    </row>
    <row r="447" spans="10:11" x14ac:dyDescent="0.25">
      <c r="J447" s="459"/>
      <c r="K447" s="459"/>
    </row>
    <row r="448" spans="10:11" x14ac:dyDescent="0.25">
      <c r="J448" s="459"/>
      <c r="K448" s="459"/>
    </row>
    <row r="449" spans="10:11" x14ac:dyDescent="0.25">
      <c r="J449" s="459"/>
      <c r="K449" s="459"/>
    </row>
    <row r="450" spans="10:11" x14ac:dyDescent="0.25">
      <c r="J450" s="459"/>
      <c r="K450" s="459"/>
    </row>
    <row r="451" spans="10:11" x14ac:dyDescent="0.25">
      <c r="J451" s="459"/>
      <c r="K451" s="459"/>
    </row>
    <row r="452" spans="10:11" x14ac:dyDescent="0.25">
      <c r="J452" s="459"/>
      <c r="K452" s="459"/>
    </row>
    <row r="453" spans="10:11" x14ac:dyDescent="0.25">
      <c r="J453" s="459"/>
      <c r="K453" s="459"/>
    </row>
    <row r="454" spans="10:11" x14ac:dyDescent="0.25">
      <c r="J454" s="459"/>
      <c r="K454" s="459"/>
    </row>
    <row r="455" spans="10:11" x14ac:dyDescent="0.25">
      <c r="J455" s="459"/>
      <c r="K455" s="459"/>
    </row>
    <row r="456" spans="10:11" x14ac:dyDescent="0.25">
      <c r="J456" s="459"/>
      <c r="K456" s="459"/>
    </row>
    <row r="457" spans="10:11" x14ac:dyDescent="0.25">
      <c r="J457" s="459"/>
      <c r="K457" s="459"/>
    </row>
    <row r="458" spans="10:11" x14ac:dyDescent="0.25">
      <c r="J458" s="459"/>
      <c r="K458" s="459"/>
    </row>
    <row r="459" spans="10:11" x14ac:dyDescent="0.25">
      <c r="J459" s="459"/>
      <c r="K459" s="459"/>
    </row>
    <row r="460" spans="10:11" x14ac:dyDescent="0.25">
      <c r="J460" s="459"/>
      <c r="K460" s="459"/>
    </row>
    <row r="461" spans="10:11" x14ac:dyDescent="0.25">
      <c r="J461" s="459"/>
      <c r="K461" s="459"/>
    </row>
    <row r="462" spans="10:11" x14ac:dyDescent="0.25">
      <c r="J462" s="459"/>
      <c r="K462" s="459"/>
    </row>
    <row r="463" spans="10:11" x14ac:dyDescent="0.25">
      <c r="J463" s="459"/>
      <c r="K463" s="459"/>
    </row>
    <row r="464" spans="10:11" x14ac:dyDescent="0.25">
      <c r="J464" s="459"/>
      <c r="K464" s="459"/>
    </row>
    <row r="465" spans="10:11" x14ac:dyDescent="0.25">
      <c r="J465" s="459"/>
      <c r="K465" s="459"/>
    </row>
    <row r="466" spans="10:11" x14ac:dyDescent="0.25">
      <c r="J466" s="459"/>
      <c r="K466" s="459"/>
    </row>
    <row r="467" spans="10:11" x14ac:dyDescent="0.25">
      <c r="J467" s="459"/>
      <c r="K467" s="459"/>
    </row>
    <row r="468" spans="10:11" x14ac:dyDescent="0.25">
      <c r="J468" s="459"/>
      <c r="K468" s="459"/>
    </row>
    <row r="469" spans="10:11" x14ac:dyDescent="0.25">
      <c r="J469" s="459"/>
      <c r="K469" s="459"/>
    </row>
    <row r="470" spans="10:11" x14ac:dyDescent="0.25">
      <c r="J470" s="459"/>
      <c r="K470" s="459"/>
    </row>
    <row r="471" spans="10:11" x14ac:dyDescent="0.25">
      <c r="J471" s="459"/>
      <c r="K471" s="459"/>
    </row>
    <row r="472" spans="10:11" x14ac:dyDescent="0.25">
      <c r="J472" s="459"/>
      <c r="K472" s="459"/>
    </row>
    <row r="473" spans="10:11" x14ac:dyDescent="0.25">
      <c r="J473" s="459"/>
      <c r="K473" s="459"/>
    </row>
    <row r="474" spans="10:11" x14ac:dyDescent="0.25">
      <c r="J474" s="459"/>
      <c r="K474" s="459"/>
    </row>
    <row r="475" spans="10:11" x14ac:dyDescent="0.25">
      <c r="J475" s="459"/>
      <c r="K475" s="459"/>
    </row>
    <row r="476" spans="10:11" x14ac:dyDescent="0.25">
      <c r="J476" s="459"/>
      <c r="K476" s="459"/>
    </row>
    <row r="477" spans="10:11" x14ac:dyDescent="0.25">
      <c r="J477" s="459"/>
      <c r="K477" s="459"/>
    </row>
    <row r="478" spans="10:11" x14ac:dyDescent="0.25">
      <c r="J478" s="459"/>
      <c r="K478" s="459"/>
    </row>
    <row r="479" spans="10:11" x14ac:dyDescent="0.25">
      <c r="J479" s="459"/>
      <c r="K479" s="459"/>
    </row>
    <row r="480" spans="10:11" x14ac:dyDescent="0.25">
      <c r="J480" s="459"/>
      <c r="K480" s="459"/>
    </row>
    <row r="481" spans="10:11" x14ac:dyDescent="0.25">
      <c r="J481" s="459"/>
      <c r="K481" s="459"/>
    </row>
    <row r="482" spans="10:11" x14ac:dyDescent="0.25">
      <c r="J482" s="459"/>
      <c r="K482" s="459"/>
    </row>
    <row r="483" spans="10:11" x14ac:dyDescent="0.25">
      <c r="J483" s="459"/>
      <c r="K483" s="459"/>
    </row>
    <row r="484" spans="10:11" x14ac:dyDescent="0.25">
      <c r="J484" s="459"/>
      <c r="K484" s="459"/>
    </row>
    <row r="485" spans="10:11" x14ac:dyDescent="0.25">
      <c r="J485" s="459"/>
      <c r="K485" s="459"/>
    </row>
    <row r="486" spans="10:11" x14ac:dyDescent="0.25">
      <c r="J486" s="459"/>
      <c r="K486" s="459"/>
    </row>
    <row r="487" spans="10:11" x14ac:dyDescent="0.25">
      <c r="J487" s="459"/>
      <c r="K487" s="459"/>
    </row>
    <row r="488" spans="10:11" x14ac:dyDescent="0.25">
      <c r="J488" s="459"/>
      <c r="K488" s="459"/>
    </row>
    <row r="489" spans="10:11" x14ac:dyDescent="0.25">
      <c r="J489" s="459"/>
      <c r="K489" s="459"/>
    </row>
    <row r="490" spans="10:11" x14ac:dyDescent="0.25">
      <c r="J490" s="459"/>
      <c r="K490" s="459"/>
    </row>
    <row r="491" spans="10:11" x14ac:dyDescent="0.25">
      <c r="J491" s="459"/>
      <c r="K491" s="459"/>
    </row>
    <row r="492" spans="10:11" x14ac:dyDescent="0.25">
      <c r="J492" s="459"/>
      <c r="K492" s="459"/>
    </row>
    <row r="493" spans="10:11" x14ac:dyDescent="0.25">
      <c r="J493" s="459"/>
      <c r="K493" s="459"/>
    </row>
    <row r="494" spans="10:11" x14ac:dyDescent="0.25">
      <c r="J494" s="459"/>
      <c r="K494" s="459"/>
    </row>
    <row r="495" spans="10:11" x14ac:dyDescent="0.25">
      <c r="J495" s="459"/>
      <c r="K495" s="459"/>
    </row>
    <row r="496" spans="10:11" x14ac:dyDescent="0.25">
      <c r="J496" s="459"/>
      <c r="K496" s="459"/>
    </row>
    <row r="497" spans="10:11" x14ac:dyDescent="0.25">
      <c r="J497" s="459"/>
      <c r="K497" s="459"/>
    </row>
    <row r="498" spans="10:11" x14ac:dyDescent="0.25">
      <c r="J498" s="459"/>
      <c r="K498" s="459"/>
    </row>
    <row r="499" spans="10:11" x14ac:dyDescent="0.25">
      <c r="J499" s="459"/>
      <c r="K499" s="459"/>
    </row>
    <row r="500" spans="10:11" x14ac:dyDescent="0.25">
      <c r="J500" s="459"/>
      <c r="K500" s="459"/>
    </row>
    <row r="501" spans="10:11" x14ac:dyDescent="0.25">
      <c r="J501" s="459"/>
      <c r="K501" s="459"/>
    </row>
    <row r="502" spans="10:11" x14ac:dyDescent="0.25">
      <c r="J502" s="459"/>
      <c r="K502" s="459"/>
    </row>
    <row r="503" spans="10:11" x14ac:dyDescent="0.25">
      <c r="J503" s="459"/>
      <c r="K503" s="459"/>
    </row>
    <row r="504" spans="10:11" x14ac:dyDescent="0.25">
      <c r="J504" s="459"/>
      <c r="K504" s="459"/>
    </row>
    <row r="505" spans="10:11" x14ac:dyDescent="0.25">
      <c r="J505" s="459"/>
      <c r="K505" s="459"/>
    </row>
    <row r="506" spans="10:11" x14ac:dyDescent="0.25">
      <c r="J506" s="459"/>
      <c r="K506" s="459"/>
    </row>
    <row r="507" spans="10:11" x14ac:dyDescent="0.25">
      <c r="J507" s="459"/>
      <c r="K507" s="459"/>
    </row>
    <row r="508" spans="10:11" x14ac:dyDescent="0.25">
      <c r="J508" s="459"/>
      <c r="K508" s="459"/>
    </row>
    <row r="509" spans="10:11" x14ac:dyDescent="0.25">
      <c r="J509" s="459"/>
      <c r="K509" s="459"/>
    </row>
    <row r="510" spans="10:11" x14ac:dyDescent="0.25">
      <c r="J510" s="459"/>
      <c r="K510" s="459"/>
    </row>
    <row r="511" spans="10:11" x14ac:dyDescent="0.25">
      <c r="J511" s="459"/>
      <c r="K511" s="459"/>
    </row>
    <row r="512" spans="10:11" x14ac:dyDescent="0.25">
      <c r="J512" s="459"/>
      <c r="K512" s="459"/>
    </row>
    <row r="513" spans="10:11" x14ac:dyDescent="0.25">
      <c r="J513" s="459"/>
      <c r="K513" s="459"/>
    </row>
    <row r="514" spans="10:11" x14ac:dyDescent="0.25">
      <c r="J514" s="459"/>
      <c r="K514" s="459"/>
    </row>
    <row r="515" spans="10:11" x14ac:dyDescent="0.25">
      <c r="J515" s="459"/>
      <c r="K515" s="459"/>
    </row>
    <row r="516" spans="10:11" x14ac:dyDescent="0.25">
      <c r="J516" s="459"/>
      <c r="K516" s="459"/>
    </row>
    <row r="517" spans="10:11" x14ac:dyDescent="0.25">
      <c r="J517" s="459"/>
      <c r="K517" s="459"/>
    </row>
    <row r="518" spans="10:11" x14ac:dyDescent="0.25">
      <c r="J518" s="459"/>
      <c r="K518" s="459"/>
    </row>
    <row r="519" spans="10:11" x14ac:dyDescent="0.25">
      <c r="J519" s="459"/>
      <c r="K519" s="459"/>
    </row>
    <row r="520" spans="10:11" x14ac:dyDescent="0.25">
      <c r="J520" s="459"/>
      <c r="K520" s="459"/>
    </row>
    <row r="521" spans="10:11" x14ac:dyDescent="0.25">
      <c r="J521" s="459"/>
      <c r="K521" s="459"/>
    </row>
    <row r="522" spans="10:11" x14ac:dyDescent="0.25">
      <c r="J522" s="459"/>
      <c r="K522" s="459"/>
    </row>
    <row r="523" spans="10:11" x14ac:dyDescent="0.25">
      <c r="J523" s="459"/>
      <c r="K523" s="459"/>
    </row>
    <row r="524" spans="10:11" x14ac:dyDescent="0.25">
      <c r="J524" s="459"/>
      <c r="K524" s="459"/>
    </row>
    <row r="525" spans="10:11" x14ac:dyDescent="0.25">
      <c r="J525" s="459"/>
      <c r="K525" s="459"/>
    </row>
    <row r="526" spans="10:11" x14ac:dyDescent="0.25">
      <c r="J526" s="459"/>
      <c r="K526" s="459"/>
    </row>
    <row r="527" spans="10:11" x14ac:dyDescent="0.25">
      <c r="J527" s="459"/>
      <c r="K527" s="459"/>
    </row>
    <row r="528" spans="10:11" x14ac:dyDescent="0.25">
      <c r="J528" s="459"/>
      <c r="K528" s="459"/>
    </row>
    <row r="529" spans="10:11" x14ac:dyDescent="0.25">
      <c r="J529" s="459"/>
      <c r="K529" s="459"/>
    </row>
    <row r="530" spans="10:11" x14ac:dyDescent="0.25">
      <c r="J530" s="459"/>
      <c r="K530" s="459"/>
    </row>
    <row r="531" spans="10:11" x14ac:dyDescent="0.25">
      <c r="J531" s="459"/>
      <c r="K531" s="459"/>
    </row>
    <row r="532" spans="10:11" x14ac:dyDescent="0.25">
      <c r="J532" s="459"/>
      <c r="K532" s="459"/>
    </row>
    <row r="533" spans="10:11" x14ac:dyDescent="0.25">
      <c r="J533" s="459"/>
      <c r="K533" s="459"/>
    </row>
    <row r="534" spans="10:11" x14ac:dyDescent="0.25">
      <c r="J534" s="459"/>
      <c r="K534" s="459"/>
    </row>
    <row r="535" spans="10:11" x14ac:dyDescent="0.25">
      <c r="J535" s="459"/>
      <c r="K535" s="459"/>
    </row>
    <row r="536" spans="10:11" x14ac:dyDescent="0.25">
      <c r="J536" s="459"/>
      <c r="K536" s="459"/>
    </row>
    <row r="537" spans="10:11" x14ac:dyDescent="0.25">
      <c r="J537" s="459"/>
      <c r="K537" s="459"/>
    </row>
    <row r="538" spans="10:11" x14ac:dyDescent="0.25">
      <c r="J538" s="459"/>
      <c r="K538" s="459"/>
    </row>
    <row r="539" spans="10:11" x14ac:dyDescent="0.25">
      <c r="J539" s="459"/>
      <c r="K539" s="459"/>
    </row>
    <row r="540" spans="10:11" x14ac:dyDescent="0.25">
      <c r="J540" s="459"/>
      <c r="K540" s="459"/>
    </row>
    <row r="541" spans="10:11" x14ac:dyDescent="0.25">
      <c r="J541" s="459"/>
      <c r="K541" s="459"/>
    </row>
    <row r="542" spans="10:11" x14ac:dyDescent="0.25">
      <c r="J542" s="459"/>
      <c r="K542" s="459"/>
    </row>
    <row r="543" spans="10:11" x14ac:dyDescent="0.25">
      <c r="J543" s="459"/>
      <c r="K543" s="459"/>
    </row>
    <row r="544" spans="10:11" x14ac:dyDescent="0.25">
      <c r="J544" s="459"/>
      <c r="K544" s="459"/>
    </row>
    <row r="545" spans="10:11" x14ac:dyDescent="0.25">
      <c r="J545" s="459"/>
      <c r="K545" s="459"/>
    </row>
    <row r="546" spans="10:11" x14ac:dyDescent="0.25">
      <c r="J546" s="459"/>
      <c r="K546" s="459"/>
    </row>
    <row r="547" spans="10:11" x14ac:dyDescent="0.25">
      <c r="J547" s="459"/>
      <c r="K547" s="459"/>
    </row>
    <row r="548" spans="10:11" x14ac:dyDescent="0.25">
      <c r="J548" s="459"/>
      <c r="K548" s="459"/>
    </row>
    <row r="549" spans="10:11" x14ac:dyDescent="0.25">
      <c r="J549" s="459"/>
      <c r="K549" s="459"/>
    </row>
    <row r="550" spans="10:11" x14ac:dyDescent="0.25">
      <c r="J550" s="459"/>
      <c r="K550" s="459"/>
    </row>
    <row r="551" spans="10:11" x14ac:dyDescent="0.25">
      <c r="J551" s="459"/>
      <c r="K551" s="459"/>
    </row>
    <row r="552" spans="10:11" x14ac:dyDescent="0.25">
      <c r="J552" s="459"/>
      <c r="K552" s="459"/>
    </row>
    <row r="553" spans="10:11" x14ac:dyDescent="0.25">
      <c r="J553" s="459"/>
      <c r="K553" s="459"/>
    </row>
    <row r="554" spans="10:11" x14ac:dyDescent="0.25">
      <c r="J554" s="459"/>
      <c r="K554" s="459"/>
    </row>
    <row r="555" spans="10:11" x14ac:dyDescent="0.25">
      <c r="J555" s="459"/>
      <c r="K555" s="459"/>
    </row>
    <row r="556" spans="10:11" x14ac:dyDescent="0.25">
      <c r="J556" s="459"/>
      <c r="K556" s="459"/>
    </row>
    <row r="557" spans="10:11" x14ac:dyDescent="0.25">
      <c r="J557" s="459"/>
      <c r="K557" s="459"/>
    </row>
    <row r="558" spans="10:11" x14ac:dyDescent="0.25">
      <c r="J558" s="459"/>
      <c r="K558" s="459"/>
    </row>
    <row r="559" spans="10:11" x14ac:dyDescent="0.25">
      <c r="J559" s="459"/>
      <c r="K559" s="459"/>
    </row>
    <row r="560" spans="10:11" x14ac:dyDescent="0.25">
      <c r="J560" s="459"/>
      <c r="K560" s="459"/>
    </row>
    <row r="561" spans="10:11" x14ac:dyDescent="0.25">
      <c r="J561" s="459"/>
      <c r="K561" s="459"/>
    </row>
    <row r="562" spans="10:11" x14ac:dyDescent="0.25">
      <c r="J562" s="459"/>
      <c r="K562" s="459"/>
    </row>
    <row r="563" spans="10:11" x14ac:dyDescent="0.25">
      <c r="J563" s="459"/>
      <c r="K563" s="459"/>
    </row>
    <row r="564" spans="10:11" x14ac:dyDescent="0.25">
      <c r="J564" s="459"/>
      <c r="K564" s="459"/>
    </row>
    <row r="565" spans="10:11" x14ac:dyDescent="0.25">
      <c r="J565" s="459"/>
      <c r="K565" s="459"/>
    </row>
    <row r="566" spans="10:11" x14ac:dyDescent="0.25">
      <c r="J566" s="459"/>
      <c r="K566" s="459"/>
    </row>
    <row r="567" spans="10:11" x14ac:dyDescent="0.25">
      <c r="J567" s="459"/>
      <c r="K567" s="459"/>
    </row>
    <row r="568" spans="10:11" x14ac:dyDescent="0.25">
      <c r="J568" s="459"/>
      <c r="K568" s="459"/>
    </row>
    <row r="569" spans="10:11" x14ac:dyDescent="0.25">
      <c r="J569" s="459"/>
      <c r="K569" s="459"/>
    </row>
    <row r="570" spans="10:11" x14ac:dyDescent="0.25">
      <c r="J570" s="459"/>
      <c r="K570" s="459"/>
    </row>
    <row r="571" spans="10:11" x14ac:dyDescent="0.25">
      <c r="J571" s="459"/>
      <c r="K571" s="459"/>
    </row>
    <row r="572" spans="10:11" x14ac:dyDescent="0.25">
      <c r="J572" s="459"/>
      <c r="K572" s="459"/>
    </row>
    <row r="573" spans="10:11" x14ac:dyDescent="0.25">
      <c r="J573" s="459"/>
      <c r="K573" s="459"/>
    </row>
    <row r="574" spans="10:11" x14ac:dyDescent="0.25">
      <c r="J574" s="459"/>
      <c r="K574" s="459"/>
    </row>
    <row r="575" spans="10:11" x14ac:dyDescent="0.25">
      <c r="J575" s="459"/>
      <c r="K575" s="459"/>
    </row>
    <row r="576" spans="10:11" x14ac:dyDescent="0.25">
      <c r="J576" s="459"/>
      <c r="K576" s="459"/>
    </row>
    <row r="577" spans="10:11" x14ac:dyDescent="0.25">
      <c r="J577" s="459"/>
      <c r="K577" s="459"/>
    </row>
    <row r="578" spans="10:11" x14ac:dyDescent="0.25">
      <c r="J578" s="459"/>
      <c r="K578" s="459"/>
    </row>
    <row r="579" spans="10:11" x14ac:dyDescent="0.25">
      <c r="J579" s="459"/>
      <c r="K579" s="459"/>
    </row>
    <row r="580" spans="10:11" x14ac:dyDescent="0.25">
      <c r="J580" s="459"/>
      <c r="K580" s="459"/>
    </row>
    <row r="581" spans="10:11" x14ac:dyDescent="0.25">
      <c r="J581" s="459"/>
      <c r="K581" s="459"/>
    </row>
    <row r="582" spans="10:11" x14ac:dyDescent="0.25">
      <c r="J582" s="459"/>
      <c r="K582" s="459"/>
    </row>
    <row r="583" spans="10:11" x14ac:dyDescent="0.25">
      <c r="J583" s="459"/>
      <c r="K583" s="459"/>
    </row>
    <row r="584" spans="10:11" x14ac:dyDescent="0.25">
      <c r="J584" s="459"/>
      <c r="K584" s="459"/>
    </row>
    <row r="585" spans="10:11" x14ac:dyDescent="0.25">
      <c r="J585" s="459"/>
      <c r="K585" s="459"/>
    </row>
    <row r="586" spans="10:11" x14ac:dyDescent="0.25">
      <c r="J586" s="459"/>
      <c r="K586" s="459"/>
    </row>
    <row r="587" spans="10:11" x14ac:dyDescent="0.25">
      <c r="J587" s="459"/>
      <c r="K587" s="459"/>
    </row>
    <row r="588" spans="10:11" x14ac:dyDescent="0.25">
      <c r="J588" s="459"/>
      <c r="K588" s="459"/>
    </row>
    <row r="589" spans="10:11" x14ac:dyDescent="0.25">
      <c r="J589" s="459"/>
      <c r="K589" s="459"/>
    </row>
    <row r="590" spans="10:11" x14ac:dyDescent="0.25">
      <c r="J590" s="459"/>
      <c r="K590" s="459"/>
    </row>
    <row r="591" spans="10:11" x14ac:dyDescent="0.25">
      <c r="J591" s="459"/>
      <c r="K591" s="459"/>
    </row>
    <row r="592" spans="10:11" x14ac:dyDescent="0.25">
      <c r="J592" s="459"/>
      <c r="K592" s="459"/>
    </row>
    <row r="593" spans="10:11" x14ac:dyDescent="0.25">
      <c r="J593" s="459"/>
      <c r="K593" s="459"/>
    </row>
    <row r="594" spans="10:11" x14ac:dyDescent="0.25">
      <c r="J594" s="459"/>
      <c r="K594" s="459"/>
    </row>
    <row r="595" spans="10:11" x14ac:dyDescent="0.25">
      <c r="J595" s="459"/>
      <c r="K595" s="459"/>
    </row>
    <row r="596" spans="10:11" x14ac:dyDescent="0.25">
      <c r="J596" s="459"/>
      <c r="K596" s="459"/>
    </row>
    <row r="597" spans="10:11" x14ac:dyDescent="0.25">
      <c r="J597" s="459"/>
      <c r="K597" s="459"/>
    </row>
    <row r="598" spans="10:11" x14ac:dyDescent="0.25">
      <c r="J598" s="459"/>
      <c r="K598" s="459"/>
    </row>
    <row r="599" spans="10:11" x14ac:dyDescent="0.25">
      <c r="J599" s="459"/>
      <c r="K599" s="459"/>
    </row>
    <row r="600" spans="10:11" x14ac:dyDescent="0.25">
      <c r="J600" s="459"/>
      <c r="K600" s="459"/>
    </row>
    <row r="601" spans="10:11" x14ac:dyDescent="0.25">
      <c r="J601" s="459"/>
      <c r="K601" s="459"/>
    </row>
    <row r="602" spans="10:11" x14ac:dyDescent="0.25">
      <c r="J602" s="459"/>
      <c r="K602" s="459"/>
    </row>
    <row r="603" spans="10:11" x14ac:dyDescent="0.25">
      <c r="J603" s="459"/>
      <c r="K603" s="459"/>
    </row>
    <row r="604" spans="10:11" x14ac:dyDescent="0.25">
      <c r="J604" s="459"/>
      <c r="K604" s="459"/>
    </row>
    <row r="605" spans="10:11" x14ac:dyDescent="0.25">
      <c r="J605" s="459"/>
      <c r="K605" s="459"/>
    </row>
    <row r="606" spans="10:11" x14ac:dyDescent="0.25">
      <c r="J606" s="459"/>
      <c r="K606" s="459"/>
    </row>
    <row r="607" spans="10:11" x14ac:dyDescent="0.25">
      <c r="J607" s="459"/>
      <c r="K607" s="459"/>
    </row>
    <row r="608" spans="10:11" x14ac:dyDescent="0.25">
      <c r="J608" s="459"/>
      <c r="K608" s="459"/>
    </row>
    <row r="609" spans="10:11" x14ac:dyDescent="0.25">
      <c r="J609" s="459"/>
      <c r="K609" s="459"/>
    </row>
    <row r="610" spans="10:11" x14ac:dyDescent="0.25">
      <c r="J610" s="459"/>
      <c r="K610" s="459"/>
    </row>
    <row r="611" spans="10:11" x14ac:dyDescent="0.25">
      <c r="J611" s="459"/>
      <c r="K611" s="459"/>
    </row>
    <row r="612" spans="10:11" x14ac:dyDescent="0.25">
      <c r="J612" s="459"/>
      <c r="K612" s="459"/>
    </row>
    <row r="613" spans="10:11" x14ac:dyDescent="0.25">
      <c r="J613" s="459"/>
      <c r="K613" s="459"/>
    </row>
    <row r="614" spans="10:11" x14ac:dyDescent="0.25">
      <c r="J614" s="459"/>
      <c r="K614" s="459"/>
    </row>
    <row r="615" spans="10:11" x14ac:dyDescent="0.25">
      <c r="J615" s="459"/>
      <c r="K615" s="459"/>
    </row>
    <row r="616" spans="10:11" x14ac:dyDescent="0.25">
      <c r="J616" s="459"/>
      <c r="K616" s="459"/>
    </row>
    <row r="617" spans="10:11" x14ac:dyDescent="0.25">
      <c r="J617" s="459"/>
      <c r="K617" s="459"/>
    </row>
    <row r="618" spans="10:11" x14ac:dyDescent="0.25">
      <c r="J618" s="459"/>
      <c r="K618" s="459"/>
    </row>
    <row r="619" spans="10:11" x14ac:dyDescent="0.25">
      <c r="J619" s="459"/>
      <c r="K619" s="459"/>
    </row>
    <row r="620" spans="10:11" x14ac:dyDescent="0.25">
      <c r="J620" s="459"/>
      <c r="K620" s="459"/>
    </row>
    <row r="621" spans="10:11" x14ac:dyDescent="0.25">
      <c r="J621" s="459"/>
      <c r="K621" s="459"/>
    </row>
    <row r="622" spans="10:11" x14ac:dyDescent="0.25">
      <c r="J622" s="459"/>
      <c r="K622" s="459"/>
    </row>
    <row r="623" spans="10:11" x14ac:dyDescent="0.25">
      <c r="J623" s="459"/>
      <c r="K623" s="459"/>
    </row>
    <row r="624" spans="10:11" x14ac:dyDescent="0.25">
      <c r="J624" s="459"/>
      <c r="K624" s="459"/>
    </row>
    <row r="625" spans="10:11" x14ac:dyDescent="0.25">
      <c r="J625" s="459"/>
      <c r="K625" s="459"/>
    </row>
    <row r="626" spans="10:11" x14ac:dyDescent="0.25">
      <c r="J626" s="459"/>
      <c r="K626" s="459"/>
    </row>
    <row r="627" spans="10:11" x14ac:dyDescent="0.25">
      <c r="J627" s="459"/>
      <c r="K627" s="459"/>
    </row>
    <row r="628" spans="10:11" x14ac:dyDescent="0.25">
      <c r="J628" s="459"/>
      <c r="K628" s="459"/>
    </row>
    <row r="629" spans="10:11" x14ac:dyDescent="0.25">
      <c r="J629" s="459"/>
      <c r="K629" s="459"/>
    </row>
    <row r="630" spans="10:11" x14ac:dyDescent="0.25">
      <c r="J630" s="459"/>
      <c r="K630" s="459"/>
    </row>
    <row r="631" spans="10:11" x14ac:dyDescent="0.25">
      <c r="J631" s="459"/>
      <c r="K631" s="459"/>
    </row>
    <row r="632" spans="10:11" x14ac:dyDescent="0.25">
      <c r="J632" s="459"/>
      <c r="K632" s="459"/>
    </row>
    <row r="633" spans="10:11" x14ac:dyDescent="0.25">
      <c r="J633" s="459"/>
      <c r="K633" s="459"/>
    </row>
    <row r="634" spans="10:11" x14ac:dyDescent="0.25">
      <c r="J634" s="459"/>
      <c r="K634" s="459"/>
    </row>
    <row r="635" spans="10:11" x14ac:dyDescent="0.25">
      <c r="J635" s="459"/>
      <c r="K635" s="459"/>
    </row>
    <row r="636" spans="10:11" x14ac:dyDescent="0.25">
      <c r="J636" s="459"/>
      <c r="K636" s="459"/>
    </row>
    <row r="637" spans="10:11" x14ac:dyDescent="0.25">
      <c r="J637" s="459"/>
      <c r="K637" s="459"/>
    </row>
    <row r="638" spans="10:11" x14ac:dyDescent="0.25">
      <c r="J638" s="459"/>
      <c r="K638" s="459"/>
    </row>
    <row r="639" spans="10:11" x14ac:dyDescent="0.25">
      <c r="J639" s="459"/>
      <c r="K639" s="459"/>
    </row>
    <row r="640" spans="10:11" x14ac:dyDescent="0.25">
      <c r="J640" s="459"/>
      <c r="K640" s="459"/>
    </row>
    <row r="641" spans="10:11" x14ac:dyDescent="0.25">
      <c r="J641" s="459"/>
      <c r="K641" s="459"/>
    </row>
    <row r="642" spans="10:11" x14ac:dyDescent="0.25">
      <c r="J642" s="459"/>
      <c r="K642" s="459"/>
    </row>
    <row r="643" spans="10:11" x14ac:dyDescent="0.25">
      <c r="J643" s="459"/>
      <c r="K643" s="459"/>
    </row>
    <row r="644" spans="10:11" x14ac:dyDescent="0.25">
      <c r="J644" s="459"/>
      <c r="K644" s="459"/>
    </row>
    <row r="645" spans="10:11" x14ac:dyDescent="0.25">
      <c r="J645" s="459"/>
      <c r="K645" s="459"/>
    </row>
    <row r="646" spans="10:11" x14ac:dyDescent="0.25">
      <c r="J646" s="459"/>
      <c r="K646" s="459"/>
    </row>
    <row r="647" spans="10:11" x14ac:dyDescent="0.25">
      <c r="J647" s="459"/>
      <c r="K647" s="459"/>
    </row>
    <row r="648" spans="10:11" x14ac:dyDescent="0.25">
      <c r="J648" s="459"/>
      <c r="K648" s="459"/>
    </row>
    <row r="649" spans="10:11" x14ac:dyDescent="0.25">
      <c r="J649" s="459"/>
      <c r="K649" s="459"/>
    </row>
    <row r="650" spans="10:11" x14ac:dyDescent="0.25">
      <c r="J650" s="459"/>
      <c r="K650" s="459"/>
    </row>
    <row r="651" spans="10:11" x14ac:dyDescent="0.25">
      <c r="J651" s="459"/>
      <c r="K651" s="459"/>
    </row>
    <row r="652" spans="10:11" x14ac:dyDescent="0.25">
      <c r="J652" s="459"/>
      <c r="K652" s="459"/>
    </row>
    <row r="653" spans="10:11" x14ac:dyDescent="0.25">
      <c r="J653" s="459"/>
      <c r="K653" s="459"/>
    </row>
    <row r="654" spans="10:11" x14ac:dyDescent="0.25">
      <c r="J654" s="459"/>
      <c r="K654" s="459"/>
    </row>
    <row r="655" spans="10:11" x14ac:dyDescent="0.25">
      <c r="J655" s="459"/>
      <c r="K655" s="459"/>
    </row>
    <row r="656" spans="10:11" x14ac:dyDescent="0.25">
      <c r="J656" s="459"/>
      <c r="K656" s="459"/>
    </row>
    <row r="657" spans="10:11" x14ac:dyDescent="0.25">
      <c r="J657" s="459"/>
      <c r="K657" s="459"/>
    </row>
    <row r="658" spans="10:11" x14ac:dyDescent="0.25">
      <c r="J658" s="459"/>
      <c r="K658" s="459"/>
    </row>
    <row r="659" spans="10:11" x14ac:dyDescent="0.25">
      <c r="J659" s="459"/>
      <c r="K659" s="459"/>
    </row>
    <row r="660" spans="10:11" x14ac:dyDescent="0.25">
      <c r="J660" s="459"/>
      <c r="K660" s="459"/>
    </row>
    <row r="661" spans="10:11" x14ac:dyDescent="0.25">
      <c r="J661" s="459"/>
      <c r="K661" s="459"/>
    </row>
    <row r="662" spans="10:11" x14ac:dyDescent="0.25">
      <c r="J662" s="459"/>
      <c r="K662" s="459"/>
    </row>
    <row r="663" spans="10:11" x14ac:dyDescent="0.25">
      <c r="J663" s="459"/>
      <c r="K663" s="459"/>
    </row>
    <row r="664" spans="10:11" x14ac:dyDescent="0.25">
      <c r="J664" s="459"/>
      <c r="K664" s="459"/>
    </row>
    <row r="665" spans="10:11" x14ac:dyDescent="0.25">
      <c r="J665" s="459"/>
      <c r="K665" s="459"/>
    </row>
    <row r="666" spans="10:11" x14ac:dyDescent="0.25">
      <c r="J666" s="459"/>
      <c r="K666" s="459"/>
    </row>
    <row r="667" spans="10:11" x14ac:dyDescent="0.25">
      <c r="J667" s="459"/>
      <c r="K667" s="459"/>
    </row>
    <row r="668" spans="10:11" x14ac:dyDescent="0.25">
      <c r="J668" s="459"/>
      <c r="K668" s="459"/>
    </row>
    <row r="669" spans="10:11" x14ac:dyDescent="0.25">
      <c r="J669" s="459"/>
      <c r="K669" s="459"/>
    </row>
    <row r="670" spans="10:11" x14ac:dyDescent="0.25">
      <c r="J670" s="459"/>
      <c r="K670" s="459"/>
    </row>
    <row r="671" spans="10:11" x14ac:dyDescent="0.25">
      <c r="J671" s="459"/>
      <c r="K671" s="459"/>
    </row>
    <row r="672" spans="10:11" x14ac:dyDescent="0.25">
      <c r="J672" s="459"/>
      <c r="K672" s="459"/>
    </row>
    <row r="673" spans="10:11" x14ac:dyDescent="0.25">
      <c r="J673" s="459"/>
      <c r="K673" s="459"/>
    </row>
    <row r="674" spans="10:11" x14ac:dyDescent="0.25">
      <c r="J674" s="459"/>
      <c r="K674" s="459"/>
    </row>
    <row r="675" spans="10:11" x14ac:dyDescent="0.25">
      <c r="J675" s="459"/>
      <c r="K675" s="459"/>
    </row>
    <row r="676" spans="10:11" x14ac:dyDescent="0.25">
      <c r="J676" s="459"/>
      <c r="K676" s="459"/>
    </row>
    <row r="677" spans="10:11" x14ac:dyDescent="0.25">
      <c r="J677" s="459"/>
      <c r="K677" s="459"/>
    </row>
    <row r="678" spans="10:11" x14ac:dyDescent="0.25">
      <c r="J678" s="459"/>
      <c r="K678" s="459"/>
    </row>
    <row r="679" spans="10:11" x14ac:dyDescent="0.25">
      <c r="J679" s="459"/>
      <c r="K679" s="459"/>
    </row>
    <row r="680" spans="10:11" x14ac:dyDescent="0.25">
      <c r="J680" s="459"/>
      <c r="K680" s="459"/>
    </row>
    <row r="681" spans="10:11" x14ac:dyDescent="0.25">
      <c r="J681" s="459"/>
      <c r="K681" s="459"/>
    </row>
    <row r="682" spans="10:11" x14ac:dyDescent="0.25">
      <c r="J682" s="459"/>
      <c r="K682" s="459"/>
    </row>
    <row r="683" spans="10:11" x14ac:dyDescent="0.25">
      <c r="J683" s="459"/>
      <c r="K683" s="459"/>
    </row>
    <row r="684" spans="10:11" x14ac:dyDescent="0.25">
      <c r="J684" s="459"/>
      <c r="K684" s="459"/>
    </row>
    <row r="685" spans="10:11" x14ac:dyDescent="0.25">
      <c r="J685" s="459"/>
      <c r="K685" s="459"/>
    </row>
    <row r="686" spans="10:11" x14ac:dyDescent="0.25">
      <c r="J686" s="459"/>
      <c r="K686" s="459"/>
    </row>
    <row r="687" spans="10:11" x14ac:dyDescent="0.25">
      <c r="J687" s="459"/>
      <c r="K687" s="459"/>
    </row>
    <row r="688" spans="10:11" x14ac:dyDescent="0.25">
      <c r="J688" s="459"/>
      <c r="K688" s="459"/>
    </row>
    <row r="689" spans="10:11" x14ac:dyDescent="0.25">
      <c r="J689" s="459"/>
      <c r="K689" s="459"/>
    </row>
    <row r="690" spans="10:11" x14ac:dyDescent="0.25">
      <c r="J690" s="459"/>
      <c r="K690" s="459"/>
    </row>
    <row r="691" spans="10:11" x14ac:dyDescent="0.25">
      <c r="J691" s="459"/>
      <c r="K691" s="459"/>
    </row>
    <row r="692" spans="10:11" x14ac:dyDescent="0.25">
      <c r="J692" s="459"/>
      <c r="K692" s="459"/>
    </row>
    <row r="693" spans="10:11" x14ac:dyDescent="0.25">
      <c r="J693" s="459"/>
      <c r="K693" s="459"/>
    </row>
    <row r="694" spans="10:11" x14ac:dyDescent="0.25">
      <c r="J694" s="459"/>
      <c r="K694" s="459"/>
    </row>
    <row r="695" spans="10:11" x14ac:dyDescent="0.25">
      <c r="J695" s="459"/>
      <c r="K695" s="459"/>
    </row>
    <row r="696" spans="10:11" x14ac:dyDescent="0.25">
      <c r="J696" s="459"/>
      <c r="K696" s="459"/>
    </row>
    <row r="697" spans="10:11" x14ac:dyDescent="0.25">
      <c r="J697" s="459"/>
      <c r="K697" s="459"/>
    </row>
    <row r="698" spans="10:11" x14ac:dyDescent="0.25">
      <c r="J698" s="459"/>
      <c r="K698" s="459"/>
    </row>
    <row r="699" spans="10:11" x14ac:dyDescent="0.25">
      <c r="J699" s="459"/>
      <c r="K699" s="459"/>
    </row>
    <row r="700" spans="10:11" x14ac:dyDescent="0.25">
      <c r="J700" s="459"/>
      <c r="K700" s="459"/>
    </row>
    <row r="701" spans="10:11" x14ac:dyDescent="0.25">
      <c r="J701" s="459"/>
      <c r="K701" s="459"/>
    </row>
    <row r="702" spans="10:11" x14ac:dyDescent="0.25">
      <c r="J702" s="459"/>
      <c r="K702" s="459"/>
    </row>
    <row r="703" spans="10:11" x14ac:dyDescent="0.25">
      <c r="J703" s="459"/>
      <c r="K703" s="459"/>
    </row>
    <row r="704" spans="10:11" x14ac:dyDescent="0.25">
      <c r="J704" s="459"/>
      <c r="K704" s="459"/>
    </row>
    <row r="705" spans="10:11" x14ac:dyDescent="0.25">
      <c r="J705" s="459"/>
      <c r="K705" s="459"/>
    </row>
    <row r="706" spans="10:11" x14ac:dyDescent="0.25">
      <c r="J706" s="459"/>
      <c r="K706" s="459"/>
    </row>
    <row r="707" spans="10:11" x14ac:dyDescent="0.25">
      <c r="J707" s="459"/>
      <c r="K707" s="459"/>
    </row>
    <row r="708" spans="10:11" x14ac:dyDescent="0.25">
      <c r="J708" s="459"/>
      <c r="K708" s="459"/>
    </row>
    <row r="709" spans="10:11" x14ac:dyDescent="0.25">
      <c r="J709" s="459"/>
      <c r="K709" s="459"/>
    </row>
    <row r="710" spans="10:11" x14ac:dyDescent="0.25">
      <c r="J710" s="459"/>
      <c r="K710" s="459"/>
    </row>
    <row r="711" spans="10:11" x14ac:dyDescent="0.25">
      <c r="J711" s="459"/>
      <c r="K711" s="459"/>
    </row>
    <row r="712" spans="10:11" x14ac:dyDescent="0.25">
      <c r="J712" s="459"/>
      <c r="K712" s="459"/>
    </row>
    <row r="713" spans="10:11" x14ac:dyDescent="0.25">
      <c r="J713" s="459"/>
      <c r="K713" s="459"/>
    </row>
    <row r="714" spans="10:11" x14ac:dyDescent="0.25">
      <c r="J714" s="459"/>
      <c r="K714" s="459"/>
    </row>
    <row r="715" spans="10:11" x14ac:dyDescent="0.25">
      <c r="J715" s="459"/>
      <c r="K715" s="459"/>
    </row>
    <row r="716" spans="10:11" x14ac:dyDescent="0.25">
      <c r="J716" s="459"/>
      <c r="K716" s="459"/>
    </row>
    <row r="717" spans="10:11" x14ac:dyDescent="0.25">
      <c r="J717" s="459"/>
      <c r="K717" s="459"/>
    </row>
    <row r="718" spans="10:11" x14ac:dyDescent="0.25">
      <c r="J718" s="459"/>
      <c r="K718" s="459"/>
    </row>
    <row r="719" spans="10:11" x14ac:dyDescent="0.25">
      <c r="J719" s="459"/>
      <c r="K719" s="459"/>
    </row>
    <row r="720" spans="10:11" x14ac:dyDescent="0.25">
      <c r="J720" s="459"/>
      <c r="K720" s="459"/>
    </row>
    <row r="721" spans="10:11" x14ac:dyDescent="0.25">
      <c r="J721" s="459"/>
      <c r="K721" s="459"/>
    </row>
    <row r="722" spans="10:11" x14ac:dyDescent="0.25">
      <c r="J722" s="459"/>
      <c r="K722" s="459"/>
    </row>
    <row r="723" spans="10:11" x14ac:dyDescent="0.25">
      <c r="J723" s="459"/>
      <c r="K723" s="459"/>
    </row>
    <row r="724" spans="10:11" x14ac:dyDescent="0.25">
      <c r="J724" s="459"/>
      <c r="K724" s="459"/>
    </row>
    <row r="725" spans="10:11" x14ac:dyDescent="0.25">
      <c r="J725" s="459"/>
      <c r="K725" s="459"/>
    </row>
    <row r="726" spans="10:11" x14ac:dyDescent="0.25">
      <c r="J726" s="459"/>
      <c r="K726" s="459"/>
    </row>
    <row r="727" spans="10:11" x14ac:dyDescent="0.25">
      <c r="J727" s="459"/>
      <c r="K727" s="459"/>
    </row>
    <row r="728" spans="10:11" x14ac:dyDescent="0.25">
      <c r="J728" s="459"/>
      <c r="K728" s="459"/>
    </row>
    <row r="729" spans="10:11" x14ac:dyDescent="0.25">
      <c r="J729" s="459"/>
      <c r="K729" s="459"/>
    </row>
    <row r="730" spans="10:11" x14ac:dyDescent="0.25">
      <c r="J730" s="459"/>
      <c r="K730" s="459"/>
    </row>
    <row r="731" spans="10:11" x14ac:dyDescent="0.25">
      <c r="J731" s="459"/>
      <c r="K731" s="459"/>
    </row>
    <row r="732" spans="10:11" x14ac:dyDescent="0.25">
      <c r="J732" s="459"/>
      <c r="K732" s="459"/>
    </row>
    <row r="733" spans="10:11" x14ac:dyDescent="0.25">
      <c r="J733" s="459"/>
      <c r="K733" s="459"/>
    </row>
    <row r="734" spans="10:11" x14ac:dyDescent="0.25">
      <c r="J734" s="459"/>
      <c r="K734" s="459"/>
    </row>
    <row r="735" spans="10:11" x14ac:dyDescent="0.25">
      <c r="J735" s="459"/>
      <c r="K735" s="459"/>
    </row>
    <row r="736" spans="10:11" x14ac:dyDescent="0.25">
      <c r="J736" s="459"/>
      <c r="K736" s="459"/>
    </row>
    <row r="737" spans="10:11" x14ac:dyDescent="0.25">
      <c r="J737" s="459"/>
      <c r="K737" s="459"/>
    </row>
    <row r="738" spans="10:11" x14ac:dyDescent="0.25">
      <c r="J738" s="459"/>
      <c r="K738" s="459"/>
    </row>
    <row r="739" spans="10:11" x14ac:dyDescent="0.25">
      <c r="J739" s="459"/>
      <c r="K739" s="459"/>
    </row>
    <row r="740" spans="10:11" x14ac:dyDescent="0.25">
      <c r="J740" s="459"/>
      <c r="K740" s="459"/>
    </row>
    <row r="741" spans="10:11" x14ac:dyDescent="0.25">
      <c r="J741" s="459"/>
      <c r="K741" s="459"/>
    </row>
    <row r="742" spans="10:11" x14ac:dyDescent="0.25">
      <c r="J742" s="459"/>
      <c r="K742" s="459"/>
    </row>
    <row r="743" spans="10:11" x14ac:dyDescent="0.25">
      <c r="J743" s="459"/>
      <c r="K743" s="459"/>
    </row>
    <row r="744" spans="10:11" x14ac:dyDescent="0.25">
      <c r="J744" s="459"/>
      <c r="K744" s="459"/>
    </row>
    <row r="745" spans="10:11" x14ac:dyDescent="0.25">
      <c r="J745" s="459"/>
      <c r="K745" s="459"/>
    </row>
    <row r="746" spans="10:11" x14ac:dyDescent="0.25">
      <c r="J746" s="459"/>
      <c r="K746" s="459"/>
    </row>
    <row r="747" spans="10:11" x14ac:dyDescent="0.25">
      <c r="J747" s="459"/>
      <c r="K747" s="459"/>
    </row>
    <row r="748" spans="10:11" x14ac:dyDescent="0.25">
      <c r="J748" s="459"/>
      <c r="K748" s="459"/>
    </row>
    <row r="749" spans="10:11" x14ac:dyDescent="0.25">
      <c r="J749" s="459"/>
      <c r="K749" s="459"/>
    </row>
    <row r="750" spans="10:11" x14ac:dyDescent="0.25">
      <c r="J750" s="459"/>
      <c r="K750" s="459"/>
    </row>
    <row r="751" spans="10:11" x14ac:dyDescent="0.25">
      <c r="J751" s="459"/>
      <c r="K751" s="459"/>
    </row>
    <row r="752" spans="10:11" x14ac:dyDescent="0.25">
      <c r="J752" s="459"/>
      <c r="K752" s="459"/>
    </row>
    <row r="753" spans="10:11" x14ac:dyDescent="0.25">
      <c r="J753" s="459"/>
      <c r="K753" s="459"/>
    </row>
    <row r="754" spans="10:11" x14ac:dyDescent="0.25">
      <c r="J754" s="459"/>
      <c r="K754" s="459"/>
    </row>
    <row r="755" spans="10:11" x14ac:dyDescent="0.25">
      <c r="J755" s="459"/>
      <c r="K755" s="459"/>
    </row>
    <row r="756" spans="10:11" x14ac:dyDescent="0.25">
      <c r="J756" s="459"/>
      <c r="K756" s="459"/>
    </row>
    <row r="757" spans="10:11" x14ac:dyDescent="0.25">
      <c r="J757" s="459"/>
      <c r="K757" s="459"/>
    </row>
    <row r="758" spans="10:11" x14ac:dyDescent="0.25">
      <c r="J758" s="459"/>
      <c r="K758" s="459"/>
    </row>
    <row r="759" spans="10:11" x14ac:dyDescent="0.25">
      <c r="J759" s="459"/>
      <c r="K759" s="459"/>
    </row>
    <row r="760" spans="10:11" x14ac:dyDescent="0.25">
      <c r="J760" s="459"/>
      <c r="K760" s="459"/>
    </row>
    <row r="761" spans="10:11" x14ac:dyDescent="0.25">
      <c r="J761" s="459"/>
      <c r="K761" s="459"/>
    </row>
    <row r="762" spans="10:11" x14ac:dyDescent="0.25">
      <c r="J762" s="459"/>
      <c r="K762" s="459"/>
    </row>
    <row r="763" spans="10:11" x14ac:dyDescent="0.25">
      <c r="J763" s="459"/>
      <c r="K763" s="459"/>
    </row>
    <row r="764" spans="10:11" x14ac:dyDescent="0.25">
      <c r="J764" s="459"/>
      <c r="K764" s="459"/>
    </row>
    <row r="765" spans="10:11" x14ac:dyDescent="0.25">
      <c r="J765" s="459"/>
      <c r="K765" s="459"/>
    </row>
    <row r="766" spans="10:11" x14ac:dyDescent="0.25">
      <c r="J766" s="459"/>
      <c r="K766" s="459"/>
    </row>
    <row r="767" spans="10:11" x14ac:dyDescent="0.25">
      <c r="J767" s="459"/>
      <c r="K767" s="459"/>
    </row>
    <row r="768" spans="10:11" x14ac:dyDescent="0.25">
      <c r="J768" s="459"/>
      <c r="K768" s="459"/>
    </row>
    <row r="769" spans="10:11" x14ac:dyDescent="0.25">
      <c r="J769" s="459"/>
      <c r="K769" s="459"/>
    </row>
    <row r="770" spans="10:11" x14ac:dyDescent="0.25">
      <c r="J770" s="459"/>
      <c r="K770" s="459"/>
    </row>
    <row r="771" spans="10:11" x14ac:dyDescent="0.25">
      <c r="J771" s="459"/>
      <c r="K771" s="459"/>
    </row>
    <row r="772" spans="10:11" x14ac:dyDescent="0.25">
      <c r="J772" s="459"/>
      <c r="K772" s="459"/>
    </row>
    <row r="773" spans="10:11" x14ac:dyDescent="0.25">
      <c r="J773" s="459"/>
      <c r="K773" s="459"/>
    </row>
    <row r="774" spans="10:11" x14ac:dyDescent="0.25">
      <c r="J774" s="459"/>
      <c r="K774" s="459"/>
    </row>
    <row r="775" spans="10:11" x14ac:dyDescent="0.25">
      <c r="J775" s="459"/>
      <c r="K775" s="459"/>
    </row>
    <row r="776" spans="10:11" x14ac:dyDescent="0.25">
      <c r="J776" s="459"/>
      <c r="K776" s="459"/>
    </row>
    <row r="777" spans="10:11" x14ac:dyDescent="0.25">
      <c r="J777" s="459"/>
      <c r="K777" s="459"/>
    </row>
    <row r="778" spans="10:11" x14ac:dyDescent="0.25">
      <c r="J778" s="459"/>
      <c r="K778" s="459"/>
    </row>
    <row r="779" spans="10:11" x14ac:dyDescent="0.25">
      <c r="J779" s="459"/>
      <c r="K779" s="459"/>
    </row>
    <row r="780" spans="10:11" x14ac:dyDescent="0.25">
      <c r="J780" s="459"/>
      <c r="K780" s="459"/>
    </row>
    <row r="781" spans="10:11" x14ac:dyDescent="0.25">
      <c r="J781" s="459"/>
      <c r="K781" s="459"/>
    </row>
    <row r="782" spans="10:11" x14ac:dyDescent="0.25">
      <c r="J782" s="459"/>
      <c r="K782" s="459"/>
    </row>
    <row r="783" spans="10:11" x14ac:dyDescent="0.25">
      <c r="J783" s="459"/>
      <c r="K783" s="459"/>
    </row>
    <row r="784" spans="10:11" x14ac:dyDescent="0.25">
      <c r="J784" s="459"/>
      <c r="K784" s="459"/>
    </row>
    <row r="785" spans="10:11" x14ac:dyDescent="0.25">
      <c r="J785" s="459"/>
      <c r="K785" s="459"/>
    </row>
    <row r="786" spans="10:11" x14ac:dyDescent="0.25">
      <c r="J786" s="459"/>
      <c r="K786" s="459"/>
    </row>
    <row r="787" spans="10:11" x14ac:dyDescent="0.25">
      <c r="J787" s="459"/>
      <c r="K787" s="459"/>
    </row>
    <row r="788" spans="10:11" x14ac:dyDescent="0.25">
      <c r="J788" s="459"/>
      <c r="K788" s="459"/>
    </row>
    <row r="789" spans="10:11" x14ac:dyDescent="0.25">
      <c r="J789" s="459"/>
      <c r="K789" s="459"/>
    </row>
    <row r="790" spans="10:11" x14ac:dyDescent="0.25">
      <c r="J790" s="459"/>
      <c r="K790" s="459"/>
    </row>
    <row r="791" spans="10:11" x14ac:dyDescent="0.25">
      <c r="J791" s="459"/>
      <c r="K791" s="459"/>
    </row>
    <row r="792" spans="10:11" x14ac:dyDescent="0.25">
      <c r="J792" s="459"/>
      <c r="K792" s="459"/>
    </row>
    <row r="793" spans="10:11" x14ac:dyDescent="0.25">
      <c r="J793" s="459"/>
      <c r="K793" s="459"/>
    </row>
    <row r="794" spans="10:11" x14ac:dyDescent="0.25">
      <c r="J794" s="459"/>
      <c r="K794" s="459"/>
    </row>
    <row r="795" spans="10:11" x14ac:dyDescent="0.25">
      <c r="J795" s="459"/>
      <c r="K795" s="459"/>
    </row>
    <row r="796" spans="10:11" x14ac:dyDescent="0.25">
      <c r="J796" s="459"/>
      <c r="K796" s="459"/>
    </row>
    <row r="797" spans="10:11" x14ac:dyDescent="0.25">
      <c r="J797" s="459"/>
      <c r="K797" s="459"/>
    </row>
    <row r="798" spans="10:11" x14ac:dyDescent="0.25">
      <c r="J798" s="459"/>
      <c r="K798" s="459"/>
    </row>
    <row r="799" spans="10:11" x14ac:dyDescent="0.25">
      <c r="J799" s="459"/>
      <c r="K799" s="459"/>
    </row>
    <row r="800" spans="10:11" x14ac:dyDescent="0.25">
      <c r="J800" s="459"/>
      <c r="K800" s="459"/>
    </row>
    <row r="801" spans="10:11" x14ac:dyDescent="0.25">
      <c r="J801" s="459"/>
      <c r="K801" s="459"/>
    </row>
    <row r="802" spans="10:11" x14ac:dyDescent="0.25">
      <c r="J802" s="459"/>
      <c r="K802" s="459"/>
    </row>
    <row r="803" spans="10:11" x14ac:dyDescent="0.25">
      <c r="J803" s="459"/>
      <c r="K803" s="459"/>
    </row>
    <row r="804" spans="10:11" x14ac:dyDescent="0.25">
      <c r="J804" s="459"/>
      <c r="K804" s="459"/>
    </row>
    <row r="805" spans="10:11" x14ac:dyDescent="0.25">
      <c r="J805" s="459"/>
      <c r="K805" s="459"/>
    </row>
    <row r="806" spans="10:11" x14ac:dyDescent="0.25">
      <c r="J806" s="459"/>
      <c r="K806" s="459"/>
    </row>
    <row r="807" spans="10:11" x14ac:dyDescent="0.25">
      <c r="J807" s="459"/>
      <c r="K807" s="459"/>
    </row>
    <row r="808" spans="10:11" x14ac:dyDescent="0.25">
      <c r="J808" s="459"/>
      <c r="K808" s="459"/>
    </row>
    <row r="809" spans="10:11" x14ac:dyDescent="0.25">
      <c r="J809" s="459"/>
      <c r="K809" s="459"/>
    </row>
    <row r="810" spans="10:11" x14ac:dyDescent="0.25">
      <c r="J810" s="459"/>
      <c r="K810" s="459"/>
    </row>
    <row r="811" spans="10:11" x14ac:dyDescent="0.25">
      <c r="J811" s="459"/>
      <c r="K811" s="459"/>
    </row>
    <row r="812" spans="10:11" x14ac:dyDescent="0.25">
      <c r="J812" s="459"/>
      <c r="K812" s="459"/>
    </row>
    <row r="813" spans="10:11" x14ac:dyDescent="0.25">
      <c r="J813" s="459"/>
      <c r="K813" s="459"/>
    </row>
    <row r="814" spans="10:11" x14ac:dyDescent="0.25">
      <c r="J814" s="459"/>
      <c r="K814" s="459"/>
    </row>
    <row r="815" spans="10:11" x14ac:dyDescent="0.25">
      <c r="J815" s="459"/>
      <c r="K815" s="459"/>
    </row>
    <row r="816" spans="10:11" x14ac:dyDescent="0.25">
      <c r="J816" s="459"/>
      <c r="K816" s="459"/>
    </row>
    <row r="817" spans="10:11" x14ac:dyDescent="0.25">
      <c r="J817" s="459"/>
      <c r="K817" s="459"/>
    </row>
    <row r="818" spans="10:11" x14ac:dyDescent="0.25">
      <c r="J818" s="459"/>
      <c r="K818" s="459"/>
    </row>
    <row r="819" spans="10:11" x14ac:dyDescent="0.25">
      <c r="J819" s="459"/>
      <c r="K819" s="459"/>
    </row>
    <row r="820" spans="10:11" x14ac:dyDescent="0.25">
      <c r="J820" s="459"/>
      <c r="K820" s="459"/>
    </row>
    <row r="821" spans="10:11" x14ac:dyDescent="0.25">
      <c r="J821" s="459"/>
      <c r="K821" s="459"/>
    </row>
    <row r="822" spans="10:11" x14ac:dyDescent="0.25">
      <c r="J822" s="459"/>
      <c r="K822" s="459"/>
    </row>
    <row r="823" spans="10:11" x14ac:dyDescent="0.25">
      <c r="J823" s="459"/>
      <c r="K823" s="459"/>
    </row>
    <row r="824" spans="10:11" x14ac:dyDescent="0.25">
      <c r="J824" s="459"/>
      <c r="K824" s="459"/>
    </row>
    <row r="825" spans="10:11" x14ac:dyDescent="0.25">
      <c r="J825" s="459"/>
      <c r="K825" s="459"/>
    </row>
    <row r="826" spans="10:11" x14ac:dyDescent="0.25">
      <c r="J826" s="459"/>
      <c r="K826" s="459"/>
    </row>
    <row r="827" spans="10:11" x14ac:dyDescent="0.25">
      <c r="J827" s="459"/>
      <c r="K827" s="459"/>
    </row>
    <row r="828" spans="10:11" x14ac:dyDescent="0.25">
      <c r="J828" s="459"/>
      <c r="K828" s="459"/>
    </row>
    <row r="829" spans="10:11" x14ac:dyDescent="0.25">
      <c r="J829" s="459"/>
      <c r="K829" s="459"/>
    </row>
    <row r="830" spans="10:11" x14ac:dyDescent="0.25">
      <c r="J830" s="459"/>
      <c r="K830" s="459"/>
    </row>
    <row r="831" spans="10:11" x14ac:dyDescent="0.25">
      <c r="J831" s="459"/>
      <c r="K831" s="459"/>
    </row>
    <row r="832" spans="10:11" x14ac:dyDescent="0.25">
      <c r="J832" s="459"/>
      <c r="K832" s="459"/>
    </row>
    <row r="833" spans="10:11" x14ac:dyDescent="0.25">
      <c r="J833" s="459"/>
      <c r="K833" s="459"/>
    </row>
    <row r="834" spans="10:11" x14ac:dyDescent="0.25">
      <c r="J834" s="459"/>
      <c r="K834" s="459"/>
    </row>
    <row r="835" spans="10:11" x14ac:dyDescent="0.25">
      <c r="J835" s="459"/>
      <c r="K835" s="459"/>
    </row>
    <row r="836" spans="10:11" x14ac:dyDescent="0.25">
      <c r="J836" s="459"/>
      <c r="K836" s="459"/>
    </row>
    <row r="837" spans="10:11" x14ac:dyDescent="0.25">
      <c r="J837" s="459"/>
      <c r="K837" s="459"/>
    </row>
    <row r="838" spans="10:11" x14ac:dyDescent="0.25">
      <c r="J838" s="459"/>
      <c r="K838" s="459"/>
    </row>
    <row r="839" spans="10:11" x14ac:dyDescent="0.25">
      <c r="J839" s="459"/>
      <c r="K839" s="459"/>
    </row>
    <row r="840" spans="10:11" x14ac:dyDescent="0.25">
      <c r="J840" s="459"/>
      <c r="K840" s="459"/>
    </row>
    <row r="841" spans="10:11" x14ac:dyDescent="0.25">
      <c r="J841" s="459"/>
      <c r="K841" s="459"/>
    </row>
    <row r="842" spans="10:11" x14ac:dyDescent="0.25">
      <c r="J842" s="459"/>
      <c r="K842" s="459"/>
    </row>
    <row r="843" spans="10:11" x14ac:dyDescent="0.25">
      <c r="J843" s="459"/>
      <c r="K843" s="459"/>
    </row>
    <row r="844" spans="10:11" x14ac:dyDescent="0.25">
      <c r="J844" s="459"/>
      <c r="K844" s="459"/>
    </row>
    <row r="845" spans="10:11" x14ac:dyDescent="0.25">
      <c r="J845" s="459"/>
      <c r="K845" s="459"/>
    </row>
    <row r="846" spans="10:11" x14ac:dyDescent="0.25">
      <c r="J846" s="459"/>
      <c r="K846" s="459"/>
    </row>
    <row r="847" spans="10:11" x14ac:dyDescent="0.25">
      <c r="J847" s="459"/>
      <c r="K847" s="459"/>
    </row>
    <row r="848" spans="10:11" x14ac:dyDescent="0.25">
      <c r="J848" s="459"/>
      <c r="K848" s="459"/>
    </row>
    <row r="849" spans="10:11" x14ac:dyDescent="0.25">
      <c r="J849" s="459"/>
      <c r="K849" s="459"/>
    </row>
    <row r="850" spans="10:11" x14ac:dyDescent="0.25">
      <c r="J850" s="459"/>
      <c r="K850" s="459"/>
    </row>
    <row r="851" spans="10:11" x14ac:dyDescent="0.25">
      <c r="J851" s="459"/>
      <c r="K851" s="459"/>
    </row>
    <row r="852" spans="10:11" x14ac:dyDescent="0.25">
      <c r="J852" s="459"/>
      <c r="K852" s="459"/>
    </row>
    <row r="853" spans="10:11" x14ac:dyDescent="0.25">
      <c r="J853" s="459"/>
      <c r="K853" s="459"/>
    </row>
    <row r="854" spans="10:11" x14ac:dyDescent="0.25">
      <c r="J854" s="459"/>
      <c r="K854" s="459"/>
    </row>
    <row r="855" spans="10:11" x14ac:dyDescent="0.25">
      <c r="J855" s="459"/>
      <c r="K855" s="459"/>
    </row>
    <row r="856" spans="10:11" x14ac:dyDescent="0.25">
      <c r="J856" s="459"/>
      <c r="K856" s="459"/>
    </row>
    <row r="857" spans="10:11" x14ac:dyDescent="0.25">
      <c r="J857" s="459"/>
      <c r="K857" s="459"/>
    </row>
    <row r="858" spans="10:11" x14ac:dyDescent="0.25">
      <c r="J858" s="459"/>
      <c r="K858" s="459"/>
    </row>
    <row r="859" spans="10:11" x14ac:dyDescent="0.25">
      <c r="J859" s="459"/>
      <c r="K859" s="459"/>
    </row>
    <row r="860" spans="10:11" x14ac:dyDescent="0.25">
      <c r="J860" s="459"/>
      <c r="K860" s="459"/>
    </row>
    <row r="861" spans="10:11" x14ac:dyDescent="0.25">
      <c r="J861" s="459"/>
      <c r="K861" s="459"/>
    </row>
    <row r="862" spans="10:11" x14ac:dyDescent="0.25">
      <c r="J862" s="459"/>
      <c r="K862" s="459"/>
    </row>
    <row r="863" spans="10:11" x14ac:dyDescent="0.25">
      <c r="J863" s="459"/>
      <c r="K863" s="459"/>
    </row>
    <row r="864" spans="10:11" x14ac:dyDescent="0.25">
      <c r="J864" s="459"/>
      <c r="K864" s="459"/>
    </row>
    <row r="865" spans="10:11" x14ac:dyDescent="0.25">
      <c r="J865" s="459"/>
      <c r="K865" s="459"/>
    </row>
    <row r="866" spans="10:11" x14ac:dyDescent="0.25">
      <c r="J866" s="459"/>
      <c r="K866" s="459"/>
    </row>
    <row r="867" spans="10:11" x14ac:dyDescent="0.25">
      <c r="J867" s="459"/>
      <c r="K867" s="459"/>
    </row>
    <row r="868" spans="10:11" x14ac:dyDescent="0.25">
      <c r="J868" s="459"/>
      <c r="K868" s="459"/>
    </row>
    <row r="869" spans="10:11" x14ac:dyDescent="0.25">
      <c r="J869" s="459"/>
      <c r="K869" s="459"/>
    </row>
    <row r="870" spans="10:11" x14ac:dyDescent="0.25">
      <c r="J870" s="459"/>
      <c r="K870" s="459"/>
    </row>
    <row r="871" spans="10:11" x14ac:dyDescent="0.25">
      <c r="J871" s="459"/>
      <c r="K871" s="459"/>
    </row>
    <row r="872" spans="10:11" x14ac:dyDescent="0.25">
      <c r="J872" s="459"/>
      <c r="K872" s="459"/>
    </row>
    <row r="873" spans="10:11" x14ac:dyDescent="0.25">
      <c r="J873" s="459"/>
      <c r="K873" s="459"/>
    </row>
    <row r="874" spans="10:11" x14ac:dyDescent="0.25">
      <c r="J874" s="459"/>
      <c r="K874" s="459"/>
    </row>
    <row r="875" spans="10:11" x14ac:dyDescent="0.25">
      <c r="J875" s="459"/>
      <c r="K875" s="459"/>
    </row>
    <row r="876" spans="10:11" x14ac:dyDescent="0.25">
      <c r="J876" s="459"/>
      <c r="K876" s="459"/>
    </row>
    <row r="877" spans="10:11" x14ac:dyDescent="0.25">
      <c r="J877" s="459"/>
      <c r="K877" s="459"/>
    </row>
    <row r="878" spans="10:11" x14ac:dyDescent="0.25">
      <c r="J878" s="459"/>
      <c r="K878" s="459"/>
    </row>
    <row r="879" spans="10:11" x14ac:dyDescent="0.25">
      <c r="J879" s="459"/>
      <c r="K879" s="459"/>
    </row>
    <row r="880" spans="10:11" x14ac:dyDescent="0.25">
      <c r="J880" s="459"/>
      <c r="K880" s="459"/>
    </row>
    <row r="881" spans="10:11" x14ac:dyDescent="0.25">
      <c r="J881" s="459"/>
      <c r="K881" s="459"/>
    </row>
    <row r="882" spans="10:11" x14ac:dyDescent="0.25">
      <c r="J882" s="459"/>
      <c r="K882" s="459"/>
    </row>
    <row r="883" spans="10:11" x14ac:dyDescent="0.25">
      <c r="J883" s="459"/>
      <c r="K883" s="459"/>
    </row>
    <row r="884" spans="10:11" x14ac:dyDescent="0.25">
      <c r="J884" s="459"/>
      <c r="K884" s="459"/>
    </row>
    <row r="885" spans="10:11" x14ac:dyDescent="0.25">
      <c r="J885" s="459"/>
      <c r="K885" s="459"/>
    </row>
    <row r="886" spans="10:11" x14ac:dyDescent="0.25">
      <c r="J886" s="459"/>
      <c r="K886" s="459"/>
    </row>
    <row r="887" spans="10:11" x14ac:dyDescent="0.25">
      <c r="J887" s="459"/>
      <c r="K887" s="459"/>
    </row>
    <row r="888" spans="10:11" x14ac:dyDescent="0.25">
      <c r="J888" s="459"/>
      <c r="K888" s="459"/>
    </row>
    <row r="889" spans="10:11" x14ac:dyDescent="0.25">
      <c r="J889" s="459"/>
      <c r="K889" s="459"/>
    </row>
    <row r="890" spans="10:11" x14ac:dyDescent="0.25">
      <c r="J890" s="459"/>
      <c r="K890" s="459"/>
    </row>
    <row r="891" spans="10:11" x14ac:dyDescent="0.25">
      <c r="J891" s="459"/>
      <c r="K891" s="459"/>
    </row>
    <row r="892" spans="10:11" x14ac:dyDescent="0.25">
      <c r="J892" s="459"/>
      <c r="K892" s="459"/>
    </row>
    <row r="893" spans="10:11" x14ac:dyDescent="0.25">
      <c r="J893" s="459"/>
      <c r="K893" s="459"/>
    </row>
    <row r="894" spans="10:11" x14ac:dyDescent="0.25">
      <c r="J894" s="459"/>
      <c r="K894" s="459"/>
    </row>
    <row r="895" spans="10:11" x14ac:dyDescent="0.25">
      <c r="J895" s="459"/>
      <c r="K895" s="459"/>
    </row>
    <row r="896" spans="10:11" x14ac:dyDescent="0.25">
      <c r="J896" s="459"/>
      <c r="K896" s="459"/>
    </row>
    <row r="897" spans="10:11" x14ac:dyDescent="0.25">
      <c r="J897" s="459"/>
      <c r="K897" s="459"/>
    </row>
    <row r="898" spans="10:11" x14ac:dyDescent="0.25">
      <c r="J898" s="459"/>
      <c r="K898" s="459"/>
    </row>
    <row r="899" spans="10:11" x14ac:dyDescent="0.25">
      <c r="J899" s="459"/>
      <c r="K899" s="459"/>
    </row>
    <row r="900" spans="10:11" x14ac:dyDescent="0.25">
      <c r="J900" s="459"/>
      <c r="K900" s="459"/>
    </row>
    <row r="901" spans="10:11" x14ac:dyDescent="0.25">
      <c r="J901" s="459"/>
      <c r="K901" s="459"/>
    </row>
    <row r="902" spans="10:11" x14ac:dyDescent="0.25">
      <c r="J902" s="459"/>
      <c r="K902" s="459"/>
    </row>
    <row r="903" spans="10:11" x14ac:dyDescent="0.25">
      <c r="J903" s="459"/>
      <c r="K903" s="459"/>
    </row>
    <row r="904" spans="10:11" x14ac:dyDescent="0.25">
      <c r="J904" s="459"/>
      <c r="K904" s="459"/>
    </row>
    <row r="905" spans="10:11" x14ac:dyDescent="0.25">
      <c r="J905" s="459"/>
      <c r="K905" s="459"/>
    </row>
    <row r="906" spans="10:11" x14ac:dyDescent="0.25">
      <c r="J906" s="459"/>
      <c r="K906" s="459"/>
    </row>
    <row r="907" spans="10:11" x14ac:dyDescent="0.25">
      <c r="J907" s="459"/>
      <c r="K907" s="459"/>
    </row>
    <row r="908" spans="10:11" x14ac:dyDescent="0.25">
      <c r="J908" s="459"/>
      <c r="K908" s="459"/>
    </row>
    <row r="909" spans="10:11" x14ac:dyDescent="0.25">
      <c r="J909" s="459"/>
      <c r="K909" s="459"/>
    </row>
    <row r="910" spans="10:11" x14ac:dyDescent="0.25">
      <c r="J910" s="459"/>
      <c r="K910" s="459"/>
    </row>
    <row r="911" spans="10:11" x14ac:dyDescent="0.25">
      <c r="J911" s="459"/>
      <c r="K911" s="459"/>
    </row>
    <row r="912" spans="10:11" x14ac:dyDescent="0.25">
      <c r="J912" s="459"/>
      <c r="K912" s="459"/>
    </row>
    <row r="913" spans="10:11" x14ac:dyDescent="0.25">
      <c r="J913" s="459"/>
      <c r="K913" s="459"/>
    </row>
    <row r="914" spans="10:11" x14ac:dyDescent="0.25">
      <c r="J914" s="459"/>
      <c r="K914" s="459"/>
    </row>
    <row r="915" spans="10:11" x14ac:dyDescent="0.25">
      <c r="J915" s="459"/>
      <c r="K915" s="459"/>
    </row>
    <row r="916" spans="10:11" x14ac:dyDescent="0.25">
      <c r="J916" s="459"/>
      <c r="K916" s="459"/>
    </row>
    <row r="917" spans="10:11" x14ac:dyDescent="0.25">
      <c r="J917" s="459"/>
      <c r="K917" s="459"/>
    </row>
    <row r="918" spans="10:11" x14ac:dyDescent="0.25">
      <c r="J918" s="459"/>
      <c r="K918" s="459"/>
    </row>
    <row r="919" spans="10:11" x14ac:dyDescent="0.25">
      <c r="J919" s="459"/>
      <c r="K919" s="459"/>
    </row>
    <row r="920" spans="10:11" x14ac:dyDescent="0.25">
      <c r="J920" s="459"/>
      <c r="K920" s="459"/>
    </row>
    <row r="921" spans="10:11" x14ac:dyDescent="0.25">
      <c r="J921" s="459"/>
      <c r="K921" s="459"/>
    </row>
    <row r="922" spans="10:11" x14ac:dyDescent="0.25">
      <c r="J922" s="459"/>
      <c r="K922" s="459"/>
    </row>
    <row r="923" spans="10:11" x14ac:dyDescent="0.25">
      <c r="J923" s="459"/>
      <c r="K923" s="459"/>
    </row>
    <row r="924" spans="10:11" x14ac:dyDescent="0.25">
      <c r="J924" s="459"/>
      <c r="K924" s="459"/>
    </row>
    <row r="925" spans="10:11" x14ac:dyDescent="0.25">
      <c r="J925" s="459"/>
      <c r="K925" s="459"/>
    </row>
    <row r="926" spans="10:11" x14ac:dyDescent="0.25">
      <c r="J926" s="459"/>
      <c r="K926" s="459"/>
    </row>
    <row r="927" spans="10:11" x14ac:dyDescent="0.25">
      <c r="J927" s="459"/>
      <c r="K927" s="459"/>
    </row>
    <row r="928" spans="10:11" x14ac:dyDescent="0.25">
      <c r="J928" s="459"/>
      <c r="K928" s="459"/>
    </row>
    <row r="929" spans="10:11" x14ac:dyDescent="0.25">
      <c r="J929" s="459"/>
      <c r="K929" s="459"/>
    </row>
    <row r="930" spans="10:11" x14ac:dyDescent="0.25">
      <c r="J930" s="459"/>
      <c r="K930" s="459"/>
    </row>
    <row r="931" spans="10:11" x14ac:dyDescent="0.25">
      <c r="J931" s="459"/>
      <c r="K931" s="459"/>
    </row>
    <row r="932" spans="10:11" x14ac:dyDescent="0.25">
      <c r="J932" s="459"/>
      <c r="K932" s="459"/>
    </row>
    <row r="933" spans="10:11" x14ac:dyDescent="0.25">
      <c r="J933" s="459"/>
      <c r="K933" s="459"/>
    </row>
    <row r="934" spans="10:11" x14ac:dyDescent="0.25">
      <c r="J934" s="459"/>
      <c r="K934" s="459"/>
    </row>
    <row r="935" spans="10:11" x14ac:dyDescent="0.25">
      <c r="J935" s="459"/>
      <c r="K935" s="459"/>
    </row>
    <row r="936" spans="10:11" x14ac:dyDescent="0.25">
      <c r="J936" s="459"/>
      <c r="K936" s="459"/>
    </row>
    <row r="937" spans="10:11" x14ac:dyDescent="0.25">
      <c r="J937" s="459"/>
      <c r="K937" s="459"/>
    </row>
    <row r="938" spans="10:11" x14ac:dyDescent="0.25">
      <c r="J938" s="459"/>
      <c r="K938" s="459"/>
    </row>
    <row r="939" spans="10:11" x14ac:dyDescent="0.25">
      <c r="J939" s="459"/>
      <c r="K939" s="459"/>
    </row>
    <row r="940" spans="10:11" x14ac:dyDescent="0.25">
      <c r="J940" s="459"/>
      <c r="K940" s="459"/>
    </row>
    <row r="941" spans="10:11" x14ac:dyDescent="0.25">
      <c r="J941" s="459"/>
      <c r="K941" s="459"/>
    </row>
    <row r="942" spans="10:11" x14ac:dyDescent="0.25">
      <c r="J942" s="459"/>
      <c r="K942" s="459"/>
    </row>
    <row r="943" spans="10:11" x14ac:dyDescent="0.25">
      <c r="J943" s="459"/>
      <c r="K943" s="459"/>
    </row>
    <row r="944" spans="10:11" x14ac:dyDescent="0.25">
      <c r="J944" s="459"/>
      <c r="K944" s="459"/>
    </row>
    <row r="945" spans="10:11" x14ac:dyDescent="0.25">
      <c r="J945" s="459"/>
      <c r="K945" s="459"/>
    </row>
    <row r="946" spans="10:11" x14ac:dyDescent="0.25">
      <c r="J946" s="459"/>
      <c r="K946" s="459"/>
    </row>
    <row r="947" spans="10:11" x14ac:dyDescent="0.25">
      <c r="J947" s="459"/>
      <c r="K947" s="459"/>
    </row>
    <row r="948" spans="10:11" x14ac:dyDescent="0.25">
      <c r="J948" s="459"/>
      <c r="K948" s="459"/>
    </row>
    <row r="949" spans="10:11" x14ac:dyDescent="0.25">
      <c r="J949" s="459"/>
      <c r="K949" s="459"/>
    </row>
    <row r="950" spans="10:11" x14ac:dyDescent="0.25">
      <c r="J950" s="459"/>
      <c r="K950" s="459"/>
    </row>
    <row r="951" spans="10:11" x14ac:dyDescent="0.25">
      <c r="J951" s="459"/>
      <c r="K951" s="459"/>
    </row>
    <row r="952" spans="10:11" x14ac:dyDescent="0.25">
      <c r="J952" s="459"/>
      <c r="K952" s="459"/>
    </row>
    <row r="953" spans="10:11" x14ac:dyDescent="0.25">
      <c r="J953" s="459"/>
      <c r="K953" s="459"/>
    </row>
    <row r="954" spans="10:11" x14ac:dyDescent="0.25">
      <c r="J954" s="459"/>
      <c r="K954" s="459"/>
    </row>
    <row r="955" spans="10:11" x14ac:dyDescent="0.25">
      <c r="J955" s="459"/>
      <c r="K955" s="459"/>
    </row>
    <row r="956" spans="10:11" x14ac:dyDescent="0.25">
      <c r="J956" s="459"/>
      <c r="K956" s="459"/>
    </row>
    <row r="957" spans="10:11" x14ac:dyDescent="0.25">
      <c r="J957" s="459"/>
      <c r="K957" s="459"/>
    </row>
    <row r="958" spans="10:11" x14ac:dyDescent="0.25">
      <c r="J958" s="459"/>
      <c r="K958" s="459"/>
    </row>
    <row r="959" spans="10:11" x14ac:dyDescent="0.25">
      <c r="J959" s="459"/>
      <c r="K959" s="459"/>
    </row>
    <row r="960" spans="10:11" x14ac:dyDescent="0.25">
      <c r="J960" s="459"/>
      <c r="K960" s="459"/>
    </row>
    <row r="961" spans="10:11" x14ac:dyDescent="0.25">
      <c r="J961" s="459"/>
      <c r="K961" s="459"/>
    </row>
    <row r="962" spans="10:11" x14ac:dyDescent="0.25">
      <c r="J962" s="459"/>
      <c r="K962" s="459"/>
    </row>
    <row r="963" spans="10:11" x14ac:dyDescent="0.25">
      <c r="J963" s="459"/>
      <c r="K963" s="459"/>
    </row>
    <row r="964" spans="10:11" x14ac:dyDescent="0.25">
      <c r="J964" s="459"/>
      <c r="K964" s="459"/>
    </row>
    <row r="965" spans="10:11" x14ac:dyDescent="0.25">
      <c r="J965" s="459"/>
      <c r="K965" s="459"/>
    </row>
    <row r="966" spans="10:11" x14ac:dyDescent="0.25">
      <c r="J966" s="459"/>
      <c r="K966" s="459"/>
    </row>
    <row r="967" spans="10:11" x14ac:dyDescent="0.25">
      <c r="J967" s="459"/>
      <c r="K967" s="459"/>
    </row>
    <row r="968" spans="10:11" x14ac:dyDescent="0.25">
      <c r="J968" s="459"/>
      <c r="K968" s="459"/>
    </row>
    <row r="969" spans="10:11" x14ac:dyDescent="0.25">
      <c r="J969" s="459"/>
      <c r="K969" s="459"/>
    </row>
    <row r="970" spans="10:11" x14ac:dyDescent="0.25">
      <c r="J970" s="459"/>
      <c r="K970" s="459"/>
    </row>
    <row r="971" spans="10:11" x14ac:dyDescent="0.25">
      <c r="J971" s="459"/>
      <c r="K971" s="459"/>
    </row>
    <row r="972" spans="10:11" x14ac:dyDescent="0.25">
      <c r="J972" s="459"/>
      <c r="K972" s="459"/>
    </row>
    <row r="973" spans="10:11" x14ac:dyDescent="0.25">
      <c r="J973" s="459"/>
      <c r="K973" s="459"/>
    </row>
    <row r="974" spans="10:11" x14ac:dyDescent="0.25">
      <c r="J974" s="459"/>
      <c r="K974" s="459"/>
    </row>
    <row r="975" spans="10:11" x14ac:dyDescent="0.25">
      <c r="J975" s="459"/>
      <c r="K975" s="459"/>
    </row>
    <row r="976" spans="10:11" x14ac:dyDescent="0.25">
      <c r="J976" s="459"/>
      <c r="K976" s="459"/>
    </row>
    <row r="977" spans="10:11" x14ac:dyDescent="0.25">
      <c r="J977" s="459"/>
      <c r="K977" s="459"/>
    </row>
    <row r="978" spans="10:11" x14ac:dyDescent="0.25">
      <c r="J978" s="459"/>
      <c r="K978" s="459"/>
    </row>
    <row r="979" spans="10:11" x14ac:dyDescent="0.25">
      <c r="J979" s="459"/>
      <c r="K979" s="459"/>
    </row>
    <row r="980" spans="10:11" x14ac:dyDescent="0.25">
      <c r="J980" s="459"/>
      <c r="K980" s="459"/>
    </row>
    <row r="981" spans="10:11" x14ac:dyDescent="0.25">
      <c r="J981" s="459"/>
      <c r="K981" s="459"/>
    </row>
    <row r="982" spans="10:11" x14ac:dyDescent="0.25">
      <c r="J982" s="459"/>
      <c r="K982" s="459"/>
    </row>
    <row r="983" spans="10:11" x14ac:dyDescent="0.25">
      <c r="J983" s="459"/>
      <c r="K983" s="459"/>
    </row>
    <row r="984" spans="10:11" x14ac:dyDescent="0.25">
      <c r="J984" s="459"/>
      <c r="K984" s="459"/>
    </row>
    <row r="985" spans="10:11" x14ac:dyDescent="0.25">
      <c r="J985" s="459"/>
      <c r="K985" s="459"/>
    </row>
    <row r="986" spans="10:11" x14ac:dyDescent="0.25">
      <c r="J986" s="459"/>
      <c r="K986" s="459"/>
    </row>
    <row r="987" spans="10:11" x14ac:dyDescent="0.25">
      <c r="J987" s="459"/>
      <c r="K987" s="459"/>
    </row>
    <row r="988" spans="10:11" x14ac:dyDescent="0.25">
      <c r="J988" s="459"/>
      <c r="K988" s="459"/>
    </row>
    <row r="989" spans="10:11" x14ac:dyDescent="0.25">
      <c r="J989" s="459"/>
      <c r="K989" s="459"/>
    </row>
    <row r="990" spans="10:11" x14ac:dyDescent="0.25">
      <c r="J990" s="459"/>
      <c r="K990" s="459"/>
    </row>
    <row r="991" spans="10:11" x14ac:dyDescent="0.25">
      <c r="J991" s="459"/>
      <c r="K991" s="459"/>
    </row>
    <row r="992" spans="10:11" x14ac:dyDescent="0.25">
      <c r="J992" s="459"/>
      <c r="K992" s="459"/>
    </row>
    <row r="993" spans="10:11" x14ac:dyDescent="0.25">
      <c r="J993" s="459"/>
      <c r="K993" s="459"/>
    </row>
    <row r="994" spans="10:11" x14ac:dyDescent="0.25">
      <c r="J994" s="459"/>
      <c r="K994" s="459"/>
    </row>
    <row r="995" spans="10:11" x14ac:dyDescent="0.25">
      <c r="J995" s="459"/>
      <c r="K995" s="459"/>
    </row>
    <row r="996" spans="10:11" x14ac:dyDescent="0.25">
      <c r="J996" s="459"/>
      <c r="K996" s="459"/>
    </row>
    <row r="997" spans="10:11" x14ac:dyDescent="0.25">
      <c r="J997" s="459"/>
      <c r="K997" s="459"/>
    </row>
    <row r="998" spans="10:11" x14ac:dyDescent="0.25">
      <c r="J998" s="459"/>
      <c r="K998" s="459"/>
    </row>
    <row r="999" spans="10:11" x14ac:dyDescent="0.25">
      <c r="J999" s="459"/>
      <c r="K999" s="459"/>
    </row>
    <row r="1000" spans="10:11" x14ac:dyDescent="0.25">
      <c r="J1000" s="459"/>
      <c r="K1000" s="459"/>
    </row>
    <row r="1001" spans="10:11" x14ac:dyDescent="0.25">
      <c r="J1001" s="459"/>
      <c r="K1001" s="459"/>
    </row>
    <row r="1002" spans="10:11" x14ac:dyDescent="0.25">
      <c r="J1002" s="459"/>
      <c r="K1002" s="459"/>
    </row>
    <row r="1003" spans="10:11" x14ac:dyDescent="0.25">
      <c r="J1003" s="459"/>
      <c r="K1003" s="459"/>
    </row>
    <row r="1004" spans="10:11" x14ac:dyDescent="0.25">
      <c r="J1004" s="459"/>
      <c r="K1004" s="459"/>
    </row>
    <row r="1005" spans="10:11" x14ac:dyDescent="0.25">
      <c r="J1005" s="459"/>
      <c r="K1005" s="459"/>
    </row>
    <row r="1006" spans="10:11" x14ac:dyDescent="0.25">
      <c r="J1006" s="459"/>
      <c r="K1006" s="459"/>
    </row>
    <row r="1007" spans="10:11" x14ac:dyDescent="0.25">
      <c r="J1007" s="459"/>
      <c r="K1007" s="459"/>
    </row>
    <row r="1008" spans="10:11" x14ac:dyDescent="0.25">
      <c r="J1008" s="459"/>
      <c r="K1008" s="459"/>
    </row>
    <row r="1009" spans="10:11" x14ac:dyDescent="0.25">
      <c r="J1009" s="459"/>
      <c r="K1009" s="459"/>
    </row>
    <row r="1010" spans="10:11" x14ac:dyDescent="0.25">
      <c r="J1010" s="459"/>
      <c r="K1010" s="459"/>
    </row>
    <row r="1011" spans="10:11" x14ac:dyDescent="0.25">
      <c r="J1011" s="459"/>
      <c r="K1011" s="459"/>
    </row>
    <row r="1012" spans="10:11" x14ac:dyDescent="0.25">
      <c r="J1012" s="459"/>
      <c r="K1012" s="459"/>
    </row>
    <row r="1013" spans="10:11" x14ac:dyDescent="0.25">
      <c r="J1013" s="459"/>
      <c r="K1013" s="459"/>
    </row>
    <row r="1014" spans="10:11" x14ac:dyDescent="0.25">
      <c r="J1014" s="459"/>
      <c r="K1014" s="459"/>
    </row>
    <row r="1015" spans="10:11" x14ac:dyDescent="0.25">
      <c r="J1015" s="459"/>
      <c r="K1015" s="459"/>
    </row>
    <row r="1016" spans="10:11" x14ac:dyDescent="0.25">
      <c r="J1016" s="459"/>
      <c r="K1016" s="459"/>
    </row>
    <row r="1017" spans="10:11" x14ac:dyDescent="0.25">
      <c r="J1017" s="459"/>
      <c r="K1017" s="459"/>
    </row>
    <row r="1018" spans="10:11" x14ac:dyDescent="0.25">
      <c r="J1018" s="459"/>
      <c r="K1018" s="459"/>
    </row>
    <row r="1019" spans="10:11" x14ac:dyDescent="0.25">
      <c r="J1019" s="459"/>
      <c r="K1019" s="459"/>
    </row>
    <row r="1020" spans="10:11" x14ac:dyDescent="0.25">
      <c r="J1020" s="459"/>
      <c r="K1020" s="459"/>
    </row>
    <row r="1021" spans="10:11" x14ac:dyDescent="0.25">
      <c r="J1021" s="459"/>
      <c r="K1021" s="459"/>
    </row>
    <row r="1022" spans="10:11" x14ac:dyDescent="0.25">
      <c r="J1022" s="459"/>
      <c r="K1022" s="459"/>
    </row>
    <row r="1023" spans="10:11" x14ac:dyDescent="0.25">
      <c r="J1023" s="459"/>
      <c r="K1023" s="459"/>
    </row>
    <row r="1024" spans="10:11" x14ac:dyDescent="0.25">
      <c r="J1024" s="459"/>
      <c r="K1024" s="459"/>
    </row>
    <row r="1025" spans="10:11" x14ac:dyDescent="0.25">
      <c r="J1025" s="459"/>
      <c r="K1025" s="459"/>
    </row>
    <row r="1026" spans="10:11" x14ac:dyDescent="0.25">
      <c r="J1026" s="459"/>
      <c r="K1026" s="459"/>
    </row>
    <row r="1027" spans="10:11" x14ac:dyDescent="0.25">
      <c r="J1027" s="459"/>
      <c r="K1027" s="459"/>
    </row>
    <row r="1028" spans="10:11" x14ac:dyDescent="0.25">
      <c r="J1028" s="459"/>
      <c r="K1028" s="459"/>
    </row>
    <row r="1029" spans="10:11" x14ac:dyDescent="0.25">
      <c r="J1029" s="459"/>
      <c r="K1029" s="459"/>
    </row>
    <row r="1030" spans="10:11" x14ac:dyDescent="0.25">
      <c r="J1030" s="459"/>
      <c r="K1030" s="459"/>
    </row>
    <row r="1031" spans="10:11" x14ac:dyDescent="0.25">
      <c r="J1031" s="459"/>
      <c r="K1031" s="459"/>
    </row>
    <row r="1032" spans="10:11" x14ac:dyDescent="0.25">
      <c r="J1032" s="459"/>
      <c r="K1032" s="459"/>
    </row>
    <row r="1033" spans="10:11" x14ac:dyDescent="0.25">
      <c r="J1033" s="459"/>
      <c r="K1033" s="459"/>
    </row>
    <row r="1034" spans="10:11" x14ac:dyDescent="0.25">
      <c r="J1034" s="459"/>
      <c r="K1034" s="459"/>
    </row>
    <row r="1035" spans="10:11" x14ac:dyDescent="0.25">
      <c r="J1035" s="459"/>
      <c r="K1035" s="459"/>
    </row>
    <row r="1036" spans="10:11" x14ac:dyDescent="0.25">
      <c r="J1036" s="459"/>
      <c r="K1036" s="459"/>
    </row>
    <row r="1037" spans="10:11" x14ac:dyDescent="0.25">
      <c r="J1037" s="459"/>
      <c r="K1037" s="459"/>
    </row>
    <row r="1038" spans="10:11" x14ac:dyDescent="0.25">
      <c r="J1038" s="459"/>
      <c r="K1038" s="459"/>
    </row>
    <row r="1039" spans="10:11" x14ac:dyDescent="0.25">
      <c r="J1039" s="459"/>
      <c r="K1039" s="459"/>
    </row>
    <row r="1040" spans="10:11" x14ac:dyDescent="0.25">
      <c r="J1040" s="459"/>
      <c r="K1040" s="459"/>
    </row>
    <row r="1041" spans="10:11" x14ac:dyDescent="0.25">
      <c r="J1041" s="459"/>
      <c r="K1041" s="459"/>
    </row>
    <row r="1042" spans="10:11" x14ac:dyDescent="0.25">
      <c r="J1042" s="459"/>
      <c r="K1042" s="459"/>
    </row>
    <row r="1043" spans="10:11" x14ac:dyDescent="0.25">
      <c r="J1043" s="459"/>
      <c r="K1043" s="459"/>
    </row>
    <row r="1044" spans="10:11" x14ac:dyDescent="0.25">
      <c r="J1044" s="459"/>
      <c r="K1044" s="459"/>
    </row>
    <row r="1045" spans="10:11" x14ac:dyDescent="0.25">
      <c r="J1045" s="459"/>
      <c r="K1045" s="459"/>
    </row>
    <row r="1046" spans="10:11" x14ac:dyDescent="0.25">
      <c r="J1046" s="459"/>
      <c r="K1046" s="459"/>
    </row>
    <row r="1047" spans="10:11" x14ac:dyDescent="0.25">
      <c r="J1047" s="459"/>
      <c r="K1047" s="459"/>
    </row>
    <row r="1048" spans="10:11" x14ac:dyDescent="0.25">
      <c r="J1048" s="459"/>
      <c r="K1048" s="459"/>
    </row>
    <row r="1049" spans="10:11" x14ac:dyDescent="0.25">
      <c r="J1049" s="459"/>
      <c r="K1049" s="459"/>
    </row>
    <row r="1050" spans="10:11" x14ac:dyDescent="0.25">
      <c r="J1050" s="459"/>
      <c r="K1050" s="459"/>
    </row>
    <row r="1051" spans="10:11" x14ac:dyDescent="0.25">
      <c r="J1051" s="459"/>
      <c r="K1051" s="459"/>
    </row>
    <row r="1052" spans="10:11" x14ac:dyDescent="0.25">
      <c r="J1052" s="459"/>
      <c r="K1052" s="459"/>
    </row>
    <row r="1053" spans="10:11" x14ac:dyDescent="0.25">
      <c r="J1053" s="459"/>
      <c r="K1053" s="459"/>
    </row>
    <row r="1054" spans="10:11" x14ac:dyDescent="0.25">
      <c r="J1054" s="459"/>
      <c r="K1054" s="459"/>
    </row>
    <row r="1055" spans="10:11" x14ac:dyDescent="0.25">
      <c r="J1055" s="459"/>
      <c r="K1055" s="459"/>
    </row>
    <row r="1056" spans="10:11" x14ac:dyDescent="0.25">
      <c r="J1056" s="459"/>
      <c r="K1056" s="459"/>
    </row>
    <row r="1057" spans="10:11" x14ac:dyDescent="0.25">
      <c r="J1057" s="459"/>
      <c r="K1057" s="459"/>
    </row>
    <row r="1058" spans="10:11" x14ac:dyDescent="0.25">
      <c r="J1058" s="459"/>
      <c r="K1058" s="459"/>
    </row>
    <row r="1059" spans="10:11" x14ac:dyDescent="0.25">
      <c r="J1059" s="459"/>
      <c r="K1059" s="459"/>
    </row>
    <row r="1060" spans="10:11" x14ac:dyDescent="0.25">
      <c r="J1060" s="459"/>
      <c r="K1060" s="459"/>
    </row>
    <row r="1061" spans="10:11" x14ac:dyDescent="0.25">
      <c r="J1061" s="459"/>
      <c r="K1061" s="459"/>
    </row>
    <row r="1062" spans="10:11" x14ac:dyDescent="0.25">
      <c r="J1062" s="459"/>
      <c r="K1062" s="459"/>
    </row>
    <row r="1063" spans="10:11" x14ac:dyDescent="0.25">
      <c r="J1063" s="459"/>
      <c r="K1063" s="459"/>
    </row>
    <row r="1064" spans="10:11" x14ac:dyDescent="0.25">
      <c r="J1064" s="459"/>
      <c r="K1064" s="459"/>
    </row>
    <row r="1065" spans="10:11" x14ac:dyDescent="0.25">
      <c r="J1065" s="459"/>
      <c r="K1065" s="459"/>
    </row>
    <row r="1066" spans="10:11" x14ac:dyDescent="0.25">
      <c r="J1066" s="459"/>
      <c r="K1066" s="459"/>
    </row>
    <row r="1067" spans="10:11" x14ac:dyDescent="0.25">
      <c r="J1067" s="459"/>
      <c r="K1067" s="459"/>
    </row>
    <row r="1068" spans="10:11" x14ac:dyDescent="0.25">
      <c r="J1068" s="459"/>
      <c r="K1068" s="459"/>
    </row>
    <row r="1069" spans="10:11" x14ac:dyDescent="0.25">
      <c r="J1069" s="459"/>
      <c r="K1069" s="459"/>
    </row>
    <row r="1070" spans="10:11" x14ac:dyDescent="0.25">
      <c r="J1070" s="459"/>
      <c r="K1070" s="459"/>
    </row>
    <row r="1071" spans="10:11" x14ac:dyDescent="0.25">
      <c r="J1071" s="459"/>
      <c r="K1071" s="459"/>
    </row>
    <row r="1072" spans="10:11" x14ac:dyDescent="0.25">
      <c r="J1072" s="459"/>
      <c r="K1072" s="459"/>
    </row>
    <row r="1073" spans="10:11" x14ac:dyDescent="0.25">
      <c r="J1073" s="459"/>
      <c r="K1073" s="459"/>
    </row>
    <row r="1074" spans="10:11" x14ac:dyDescent="0.25">
      <c r="J1074" s="459"/>
      <c r="K1074" s="459"/>
    </row>
    <row r="1075" spans="10:11" x14ac:dyDescent="0.25">
      <c r="J1075" s="459"/>
      <c r="K1075" s="459"/>
    </row>
    <row r="1076" spans="10:11" x14ac:dyDescent="0.25">
      <c r="J1076" s="459"/>
      <c r="K1076" s="459"/>
    </row>
    <row r="1077" spans="10:11" x14ac:dyDescent="0.25">
      <c r="J1077" s="459"/>
      <c r="K1077" s="459"/>
    </row>
    <row r="1078" spans="10:11" x14ac:dyDescent="0.25">
      <c r="J1078" s="459"/>
      <c r="K1078" s="459"/>
    </row>
    <row r="1079" spans="10:11" x14ac:dyDescent="0.25">
      <c r="J1079" s="459"/>
      <c r="K1079" s="459"/>
    </row>
    <row r="1080" spans="10:11" x14ac:dyDescent="0.25">
      <c r="J1080" s="459"/>
      <c r="K1080" s="459"/>
    </row>
    <row r="1081" spans="10:11" x14ac:dyDescent="0.25">
      <c r="J1081" s="459"/>
      <c r="K1081" s="459"/>
    </row>
    <row r="1082" spans="10:11" x14ac:dyDescent="0.25">
      <c r="J1082" s="459"/>
      <c r="K1082" s="459"/>
    </row>
    <row r="1083" spans="10:11" x14ac:dyDescent="0.25">
      <c r="J1083" s="459"/>
      <c r="K1083" s="459"/>
    </row>
    <row r="1084" spans="10:11" x14ac:dyDescent="0.25">
      <c r="J1084" s="459"/>
      <c r="K1084" s="459"/>
    </row>
    <row r="1085" spans="10:11" x14ac:dyDescent="0.25">
      <c r="J1085" s="459"/>
      <c r="K1085" s="459"/>
    </row>
    <row r="1086" spans="10:11" x14ac:dyDescent="0.25">
      <c r="J1086" s="459"/>
      <c r="K1086" s="459"/>
    </row>
    <row r="1087" spans="10:11" x14ac:dyDescent="0.25">
      <c r="J1087" s="459"/>
      <c r="K1087" s="459"/>
    </row>
    <row r="1088" spans="10:11" x14ac:dyDescent="0.25">
      <c r="J1088" s="459"/>
      <c r="K1088" s="459"/>
    </row>
    <row r="1089" spans="10:11" x14ac:dyDescent="0.25">
      <c r="J1089" s="459"/>
      <c r="K1089" s="459"/>
    </row>
    <row r="1090" spans="10:11" x14ac:dyDescent="0.25">
      <c r="J1090" s="459"/>
      <c r="K1090" s="459"/>
    </row>
    <row r="1091" spans="10:11" x14ac:dyDescent="0.25">
      <c r="J1091" s="459"/>
      <c r="K1091" s="459"/>
    </row>
    <row r="1092" spans="10:11" x14ac:dyDescent="0.25">
      <c r="J1092" s="459"/>
      <c r="K1092" s="459"/>
    </row>
    <row r="1093" spans="10:11" x14ac:dyDescent="0.25">
      <c r="J1093" s="459"/>
      <c r="K1093" s="459"/>
    </row>
    <row r="1094" spans="10:11" x14ac:dyDescent="0.25">
      <c r="J1094" s="459"/>
      <c r="K1094" s="459"/>
    </row>
    <row r="1095" spans="10:11" x14ac:dyDescent="0.25">
      <c r="J1095" s="459"/>
      <c r="K1095" s="459"/>
    </row>
    <row r="1096" spans="10:11" x14ac:dyDescent="0.25">
      <c r="J1096" s="459"/>
      <c r="K1096" s="459"/>
    </row>
    <row r="1097" spans="10:11" x14ac:dyDescent="0.25">
      <c r="J1097" s="459"/>
      <c r="K1097" s="459"/>
    </row>
    <row r="1098" spans="10:11" x14ac:dyDescent="0.25">
      <c r="J1098" s="459"/>
      <c r="K1098" s="459"/>
    </row>
    <row r="1099" spans="10:11" x14ac:dyDescent="0.25">
      <c r="J1099" s="459"/>
      <c r="K1099" s="459"/>
    </row>
    <row r="1100" spans="10:11" x14ac:dyDescent="0.25">
      <c r="J1100" s="459"/>
      <c r="K1100" s="459"/>
    </row>
    <row r="1101" spans="10:11" x14ac:dyDescent="0.25">
      <c r="J1101" s="459"/>
      <c r="K1101" s="459"/>
    </row>
    <row r="1102" spans="10:11" x14ac:dyDescent="0.25">
      <c r="J1102" s="459"/>
      <c r="K1102" s="459"/>
    </row>
    <row r="1103" spans="10:11" x14ac:dyDescent="0.25">
      <c r="J1103" s="459"/>
      <c r="K1103" s="459"/>
    </row>
    <row r="1104" spans="10:11" x14ac:dyDescent="0.25">
      <c r="J1104" s="459"/>
      <c r="K1104" s="459"/>
    </row>
    <row r="1105" spans="10:11" x14ac:dyDescent="0.25">
      <c r="J1105" s="459"/>
      <c r="K1105" s="459"/>
    </row>
    <row r="1106" spans="10:11" x14ac:dyDescent="0.25">
      <c r="J1106" s="459"/>
      <c r="K1106" s="459"/>
    </row>
    <row r="1107" spans="10:11" x14ac:dyDescent="0.25">
      <c r="J1107" s="459"/>
      <c r="K1107" s="459"/>
    </row>
    <row r="1108" spans="10:11" x14ac:dyDescent="0.25">
      <c r="J1108" s="459"/>
      <c r="K1108" s="459"/>
    </row>
    <row r="1109" spans="10:11" x14ac:dyDescent="0.25">
      <c r="J1109" s="459"/>
      <c r="K1109" s="459"/>
    </row>
    <row r="1110" spans="10:11" x14ac:dyDescent="0.25">
      <c r="J1110" s="459"/>
      <c r="K1110" s="459"/>
    </row>
    <row r="1111" spans="10:11" x14ac:dyDescent="0.25">
      <c r="J1111" s="459"/>
      <c r="K1111" s="459"/>
    </row>
    <row r="1112" spans="10:11" x14ac:dyDescent="0.25">
      <c r="J1112" s="459"/>
      <c r="K1112" s="459"/>
    </row>
    <row r="1113" spans="10:11" x14ac:dyDescent="0.25">
      <c r="J1113" s="459"/>
      <c r="K1113" s="459"/>
    </row>
    <row r="1114" spans="10:11" x14ac:dyDescent="0.25">
      <c r="J1114" s="459"/>
      <c r="K1114" s="459"/>
    </row>
    <row r="1115" spans="10:11" x14ac:dyDescent="0.25">
      <c r="J1115" s="459"/>
      <c r="K1115" s="459"/>
    </row>
    <row r="1116" spans="10:11" x14ac:dyDescent="0.25">
      <c r="J1116" s="459"/>
      <c r="K1116" s="459"/>
    </row>
    <row r="1117" spans="10:11" x14ac:dyDescent="0.25">
      <c r="J1117" s="459"/>
      <c r="K1117" s="459"/>
    </row>
    <row r="1118" spans="10:11" x14ac:dyDescent="0.25">
      <c r="J1118" s="459"/>
      <c r="K1118" s="459"/>
    </row>
    <row r="1119" spans="10:11" x14ac:dyDescent="0.25">
      <c r="J1119" s="459"/>
      <c r="K1119" s="459"/>
    </row>
    <row r="1120" spans="10:11" x14ac:dyDescent="0.25">
      <c r="J1120" s="459"/>
      <c r="K1120" s="459"/>
    </row>
    <row r="1121" spans="10:11" x14ac:dyDescent="0.25">
      <c r="J1121" s="459"/>
      <c r="K1121" s="459"/>
    </row>
    <row r="1122" spans="10:11" x14ac:dyDescent="0.25">
      <c r="J1122" s="459"/>
      <c r="K1122" s="459"/>
    </row>
    <row r="1123" spans="10:11" x14ac:dyDescent="0.25">
      <c r="J1123" s="459"/>
      <c r="K1123" s="459"/>
    </row>
    <row r="1124" spans="10:11" x14ac:dyDescent="0.25">
      <c r="J1124" s="459"/>
      <c r="K1124" s="459"/>
    </row>
    <row r="1125" spans="10:11" x14ac:dyDescent="0.25">
      <c r="J1125" s="459"/>
      <c r="K1125" s="459"/>
    </row>
    <row r="1126" spans="10:11" x14ac:dyDescent="0.25">
      <c r="J1126" s="459"/>
      <c r="K1126" s="459"/>
    </row>
    <row r="1127" spans="10:11" x14ac:dyDescent="0.25">
      <c r="J1127" s="459"/>
      <c r="K1127" s="459"/>
    </row>
    <row r="1128" spans="10:11" x14ac:dyDescent="0.25">
      <c r="J1128" s="459"/>
      <c r="K1128" s="459"/>
    </row>
    <row r="1129" spans="10:11" x14ac:dyDescent="0.25">
      <c r="J1129" s="459"/>
      <c r="K1129" s="459"/>
    </row>
    <row r="1130" spans="10:11" x14ac:dyDescent="0.25">
      <c r="J1130" s="459"/>
      <c r="K1130" s="459"/>
    </row>
    <row r="1131" spans="10:11" x14ac:dyDescent="0.25">
      <c r="J1131" s="459"/>
      <c r="K1131" s="459"/>
    </row>
    <row r="1132" spans="10:11" x14ac:dyDescent="0.25">
      <c r="J1132" s="459"/>
      <c r="K1132" s="459"/>
    </row>
    <row r="1133" spans="10:11" x14ac:dyDescent="0.25">
      <c r="J1133" s="459"/>
      <c r="K1133" s="459"/>
    </row>
    <row r="1134" spans="10:11" x14ac:dyDescent="0.25">
      <c r="J1134" s="459"/>
      <c r="K1134" s="459"/>
    </row>
    <row r="1135" spans="10:11" x14ac:dyDescent="0.25">
      <c r="J1135" s="459"/>
      <c r="K1135" s="459"/>
    </row>
    <row r="1136" spans="10:11" x14ac:dyDescent="0.25">
      <c r="J1136" s="459"/>
      <c r="K1136" s="459"/>
    </row>
    <row r="1137" spans="10:11" x14ac:dyDescent="0.25">
      <c r="J1137" s="459"/>
      <c r="K1137" s="459"/>
    </row>
    <row r="1138" spans="10:11" x14ac:dyDescent="0.25">
      <c r="J1138" s="459"/>
      <c r="K1138" s="459"/>
    </row>
    <row r="1139" spans="10:11" x14ac:dyDescent="0.25">
      <c r="J1139" s="459"/>
      <c r="K1139" s="459"/>
    </row>
    <row r="1140" spans="10:11" x14ac:dyDescent="0.25">
      <c r="J1140" s="459"/>
      <c r="K1140" s="459"/>
    </row>
    <row r="1141" spans="10:11" x14ac:dyDescent="0.25">
      <c r="J1141" s="459"/>
      <c r="K1141" s="459"/>
    </row>
    <row r="1142" spans="10:11" x14ac:dyDescent="0.25">
      <c r="J1142" s="459"/>
      <c r="K1142" s="459"/>
    </row>
    <row r="1143" spans="10:11" x14ac:dyDescent="0.25">
      <c r="J1143" s="459"/>
      <c r="K1143" s="459"/>
    </row>
    <row r="1144" spans="10:11" x14ac:dyDescent="0.25">
      <c r="J1144" s="459"/>
      <c r="K1144" s="459"/>
    </row>
    <row r="1145" spans="10:11" x14ac:dyDescent="0.25">
      <c r="J1145" s="459"/>
      <c r="K1145" s="459"/>
    </row>
    <row r="1146" spans="10:11" x14ac:dyDescent="0.25">
      <c r="J1146" s="459"/>
      <c r="K1146" s="459"/>
    </row>
    <row r="1147" spans="10:11" x14ac:dyDescent="0.25">
      <c r="J1147" s="459"/>
      <c r="K1147" s="459"/>
    </row>
    <row r="1148" spans="10:11" x14ac:dyDescent="0.25">
      <c r="J1148" s="459"/>
      <c r="K1148" s="459"/>
    </row>
    <row r="1149" spans="10:11" x14ac:dyDescent="0.25">
      <c r="J1149" s="459"/>
      <c r="K1149" s="459"/>
    </row>
    <row r="1150" spans="10:11" x14ac:dyDescent="0.25">
      <c r="J1150" s="459"/>
      <c r="K1150" s="459"/>
    </row>
    <row r="1151" spans="10:11" x14ac:dyDescent="0.25">
      <c r="J1151" s="459"/>
      <c r="K1151" s="459"/>
    </row>
    <row r="1152" spans="10:11" x14ac:dyDescent="0.25">
      <c r="J1152" s="459"/>
      <c r="K1152" s="459"/>
    </row>
    <row r="1153" spans="10:11" x14ac:dyDescent="0.25">
      <c r="J1153" s="459"/>
      <c r="K1153" s="459"/>
    </row>
    <row r="1154" spans="10:11" x14ac:dyDescent="0.25">
      <c r="J1154" s="459"/>
      <c r="K1154" s="459"/>
    </row>
    <row r="1155" spans="10:11" x14ac:dyDescent="0.25">
      <c r="J1155" s="459"/>
      <c r="K1155" s="459"/>
    </row>
    <row r="1156" spans="10:11" x14ac:dyDescent="0.25">
      <c r="J1156" s="459"/>
      <c r="K1156" s="459"/>
    </row>
    <row r="1157" spans="10:11" x14ac:dyDescent="0.25">
      <c r="J1157" s="459"/>
      <c r="K1157" s="459"/>
    </row>
    <row r="1158" spans="10:11" x14ac:dyDescent="0.25">
      <c r="J1158" s="459"/>
      <c r="K1158" s="459"/>
    </row>
    <row r="1159" spans="10:11" x14ac:dyDescent="0.25">
      <c r="J1159" s="459"/>
      <c r="K1159" s="459"/>
    </row>
    <row r="1160" spans="10:11" x14ac:dyDescent="0.25">
      <c r="J1160" s="459"/>
      <c r="K1160" s="459"/>
    </row>
    <row r="1161" spans="10:11" x14ac:dyDescent="0.25">
      <c r="J1161" s="459"/>
      <c r="K1161" s="459"/>
    </row>
    <row r="1162" spans="10:11" x14ac:dyDescent="0.25">
      <c r="J1162" s="459"/>
      <c r="K1162" s="459"/>
    </row>
    <row r="1163" spans="10:11" x14ac:dyDescent="0.25">
      <c r="J1163" s="459"/>
      <c r="K1163" s="459"/>
    </row>
    <row r="1164" spans="10:11" x14ac:dyDescent="0.25">
      <c r="J1164" s="459"/>
      <c r="K1164" s="459"/>
    </row>
    <row r="1165" spans="10:11" x14ac:dyDescent="0.25">
      <c r="J1165" s="459"/>
      <c r="K1165" s="459"/>
    </row>
    <row r="1166" spans="10:11" x14ac:dyDescent="0.25">
      <c r="J1166" s="459"/>
      <c r="K1166" s="459"/>
    </row>
    <row r="1167" spans="10:11" x14ac:dyDescent="0.25">
      <c r="J1167" s="459"/>
      <c r="K1167" s="459"/>
    </row>
    <row r="1168" spans="10:11" x14ac:dyDescent="0.25">
      <c r="J1168" s="459"/>
      <c r="K1168" s="459"/>
    </row>
    <row r="1169" spans="10:11" x14ac:dyDescent="0.25">
      <c r="J1169" s="459"/>
      <c r="K1169" s="459"/>
    </row>
    <row r="1170" spans="10:11" x14ac:dyDescent="0.25">
      <c r="J1170" s="459"/>
      <c r="K1170" s="459"/>
    </row>
    <row r="1171" spans="10:11" x14ac:dyDescent="0.25">
      <c r="J1171" s="459"/>
      <c r="K1171" s="459"/>
    </row>
    <row r="1172" spans="10:11" x14ac:dyDescent="0.25">
      <c r="J1172" s="459"/>
      <c r="K1172" s="459"/>
    </row>
    <row r="1173" spans="10:11" x14ac:dyDescent="0.25">
      <c r="J1173" s="459"/>
      <c r="K1173" s="459"/>
    </row>
    <row r="1174" spans="10:11" x14ac:dyDescent="0.25">
      <c r="J1174" s="459"/>
      <c r="K1174" s="459"/>
    </row>
    <row r="1175" spans="10:11" x14ac:dyDescent="0.25">
      <c r="J1175" s="459"/>
      <c r="K1175" s="459"/>
    </row>
    <row r="1176" spans="10:11" x14ac:dyDescent="0.25">
      <c r="J1176" s="459"/>
      <c r="K1176" s="459"/>
    </row>
    <row r="1177" spans="10:11" x14ac:dyDescent="0.25">
      <c r="J1177" s="459"/>
      <c r="K1177" s="459"/>
    </row>
    <row r="1178" spans="10:11" x14ac:dyDescent="0.25">
      <c r="J1178" s="459"/>
      <c r="K1178" s="459"/>
    </row>
    <row r="1179" spans="10:11" x14ac:dyDescent="0.25">
      <c r="J1179" s="459"/>
      <c r="K1179" s="459"/>
    </row>
    <row r="1180" spans="10:11" x14ac:dyDescent="0.25">
      <c r="J1180" s="459"/>
      <c r="K1180" s="459"/>
    </row>
    <row r="1181" spans="10:11" x14ac:dyDescent="0.25">
      <c r="J1181" s="459"/>
      <c r="K1181" s="459"/>
    </row>
    <row r="1182" spans="10:11" x14ac:dyDescent="0.25">
      <c r="J1182" s="459"/>
      <c r="K1182" s="459"/>
    </row>
    <row r="1183" spans="10:11" x14ac:dyDescent="0.25">
      <c r="J1183" s="459"/>
      <c r="K1183" s="459"/>
    </row>
    <row r="1184" spans="10:11" x14ac:dyDescent="0.25">
      <c r="J1184" s="459"/>
      <c r="K1184" s="459"/>
    </row>
    <row r="1185" spans="10:11" x14ac:dyDescent="0.25">
      <c r="J1185" s="459"/>
      <c r="K1185" s="459"/>
    </row>
    <row r="1186" spans="10:11" x14ac:dyDescent="0.25">
      <c r="J1186" s="459"/>
      <c r="K1186" s="459"/>
    </row>
    <row r="1187" spans="10:11" x14ac:dyDescent="0.25">
      <c r="J1187" s="459"/>
      <c r="K1187" s="459"/>
    </row>
    <row r="1188" spans="10:11" x14ac:dyDescent="0.25">
      <c r="J1188" s="459"/>
      <c r="K1188" s="459"/>
    </row>
    <row r="1189" spans="10:11" x14ac:dyDescent="0.25">
      <c r="J1189" s="459"/>
      <c r="K1189" s="459"/>
    </row>
    <row r="1190" spans="10:11" x14ac:dyDescent="0.25">
      <c r="J1190" s="459"/>
      <c r="K1190" s="459"/>
    </row>
    <row r="1191" spans="10:11" x14ac:dyDescent="0.25">
      <c r="J1191" s="459"/>
      <c r="K1191" s="459"/>
    </row>
    <row r="1192" spans="10:11" x14ac:dyDescent="0.25">
      <c r="J1192" s="459"/>
      <c r="K1192" s="459"/>
    </row>
    <row r="1193" spans="10:11" x14ac:dyDescent="0.25">
      <c r="J1193" s="459"/>
      <c r="K1193" s="459"/>
    </row>
    <row r="1194" spans="10:11" x14ac:dyDescent="0.25">
      <c r="J1194" s="459"/>
      <c r="K1194" s="459"/>
    </row>
    <row r="1195" spans="10:11" x14ac:dyDescent="0.25">
      <c r="J1195" s="459"/>
      <c r="K1195" s="459"/>
    </row>
    <row r="1196" spans="10:11" x14ac:dyDescent="0.25">
      <c r="J1196" s="459"/>
      <c r="K1196" s="459"/>
    </row>
    <row r="1197" spans="10:11" x14ac:dyDescent="0.25">
      <c r="J1197" s="459"/>
      <c r="K1197" s="459"/>
    </row>
    <row r="1198" spans="10:11" x14ac:dyDescent="0.25">
      <c r="J1198" s="459"/>
      <c r="K1198" s="459"/>
    </row>
    <row r="1199" spans="10:11" x14ac:dyDescent="0.25">
      <c r="J1199" s="459"/>
      <c r="K1199" s="459"/>
    </row>
    <row r="1200" spans="10:11" x14ac:dyDescent="0.25">
      <c r="J1200" s="459"/>
      <c r="K1200" s="459"/>
    </row>
    <row r="1201" spans="10:11" x14ac:dyDescent="0.25">
      <c r="J1201" s="459"/>
      <c r="K1201" s="459"/>
    </row>
    <row r="1202" spans="10:11" x14ac:dyDescent="0.25">
      <c r="J1202" s="459"/>
      <c r="K1202" s="459"/>
    </row>
    <row r="1203" spans="10:11" x14ac:dyDescent="0.25">
      <c r="J1203" s="459"/>
      <c r="K1203" s="459"/>
    </row>
    <row r="1204" spans="10:11" x14ac:dyDescent="0.25">
      <c r="J1204" s="459"/>
      <c r="K1204" s="459"/>
    </row>
    <row r="1205" spans="10:11" x14ac:dyDescent="0.25">
      <c r="J1205" s="459"/>
      <c r="K1205" s="459"/>
    </row>
    <row r="1206" spans="10:11" x14ac:dyDescent="0.25">
      <c r="J1206" s="459"/>
      <c r="K1206" s="459"/>
    </row>
    <row r="1207" spans="10:11" x14ac:dyDescent="0.25">
      <c r="J1207" s="459"/>
      <c r="K1207" s="459"/>
    </row>
    <row r="1208" spans="10:11" x14ac:dyDescent="0.25">
      <c r="J1208" s="459"/>
      <c r="K1208" s="459"/>
    </row>
    <row r="1209" spans="10:11" x14ac:dyDescent="0.25">
      <c r="J1209" s="459"/>
      <c r="K1209" s="459"/>
    </row>
    <row r="1210" spans="10:11" x14ac:dyDescent="0.25">
      <c r="J1210" s="459"/>
      <c r="K1210" s="459"/>
    </row>
    <row r="1211" spans="10:11" x14ac:dyDescent="0.25">
      <c r="J1211" s="459"/>
      <c r="K1211" s="459"/>
    </row>
    <row r="1212" spans="10:11" x14ac:dyDescent="0.25">
      <c r="J1212" s="459"/>
      <c r="K1212" s="459"/>
    </row>
    <row r="1213" spans="10:11" x14ac:dyDescent="0.25">
      <c r="J1213" s="459"/>
      <c r="K1213" s="459"/>
    </row>
    <row r="1214" spans="10:11" x14ac:dyDescent="0.25">
      <c r="J1214" s="459"/>
      <c r="K1214" s="459"/>
    </row>
    <row r="1215" spans="10:11" x14ac:dyDescent="0.25">
      <c r="J1215" s="459"/>
      <c r="K1215" s="459"/>
    </row>
    <row r="1216" spans="10:11" x14ac:dyDescent="0.25">
      <c r="J1216" s="459"/>
      <c r="K1216" s="459"/>
    </row>
    <row r="1217" spans="10:11" x14ac:dyDescent="0.25">
      <c r="J1217" s="459"/>
      <c r="K1217" s="459"/>
    </row>
    <row r="1218" spans="10:11" x14ac:dyDescent="0.25">
      <c r="J1218" s="459"/>
      <c r="K1218" s="459"/>
    </row>
    <row r="1219" spans="10:11" x14ac:dyDescent="0.25">
      <c r="J1219" s="459"/>
      <c r="K1219" s="459"/>
    </row>
    <row r="1220" spans="10:11" x14ac:dyDescent="0.25">
      <c r="J1220" s="459"/>
      <c r="K1220" s="459"/>
    </row>
    <row r="1221" spans="10:11" x14ac:dyDescent="0.25">
      <c r="J1221" s="459"/>
      <c r="K1221" s="459"/>
    </row>
    <row r="1222" spans="10:11" x14ac:dyDescent="0.25">
      <c r="J1222" s="459"/>
      <c r="K1222" s="459"/>
    </row>
    <row r="1223" spans="10:11" x14ac:dyDescent="0.25">
      <c r="J1223" s="459"/>
      <c r="K1223" s="459"/>
    </row>
    <row r="1224" spans="10:11" x14ac:dyDescent="0.25">
      <c r="J1224" s="459"/>
      <c r="K1224" s="459"/>
    </row>
    <row r="1225" spans="10:11" x14ac:dyDescent="0.25">
      <c r="J1225" s="459"/>
      <c r="K1225" s="459"/>
    </row>
    <row r="1226" spans="10:11" x14ac:dyDescent="0.25">
      <c r="J1226" s="459"/>
      <c r="K1226" s="459"/>
    </row>
    <row r="1227" spans="10:11" x14ac:dyDescent="0.25">
      <c r="J1227" s="459"/>
      <c r="K1227" s="459"/>
    </row>
    <row r="1228" spans="10:11" x14ac:dyDescent="0.25">
      <c r="J1228" s="459"/>
      <c r="K1228" s="459"/>
    </row>
    <row r="1229" spans="10:11" x14ac:dyDescent="0.25">
      <c r="J1229" s="459"/>
      <c r="K1229" s="459"/>
    </row>
    <row r="1230" spans="10:11" x14ac:dyDescent="0.25">
      <c r="J1230" s="459"/>
      <c r="K1230" s="459"/>
    </row>
    <row r="1231" spans="10:11" x14ac:dyDescent="0.25">
      <c r="J1231" s="459"/>
      <c r="K1231" s="459"/>
    </row>
    <row r="1232" spans="10:11" x14ac:dyDescent="0.25">
      <c r="J1232" s="459"/>
      <c r="K1232" s="459"/>
    </row>
    <row r="1233" spans="10:11" x14ac:dyDescent="0.25">
      <c r="J1233" s="459"/>
      <c r="K1233" s="459"/>
    </row>
    <row r="1234" spans="10:11" x14ac:dyDescent="0.25">
      <c r="J1234" s="459"/>
      <c r="K1234" s="459"/>
    </row>
    <row r="1235" spans="10:11" x14ac:dyDescent="0.25">
      <c r="J1235" s="459"/>
      <c r="K1235" s="459"/>
    </row>
    <row r="1236" spans="10:11" x14ac:dyDescent="0.25">
      <c r="J1236" s="459"/>
      <c r="K1236" s="459"/>
    </row>
    <row r="1237" spans="10:11" x14ac:dyDescent="0.25">
      <c r="J1237" s="459"/>
      <c r="K1237" s="459"/>
    </row>
    <row r="1238" spans="10:11" x14ac:dyDescent="0.25">
      <c r="J1238" s="459"/>
      <c r="K1238" s="459"/>
    </row>
    <row r="1239" spans="10:11" x14ac:dyDescent="0.25">
      <c r="J1239" s="459"/>
      <c r="K1239" s="459"/>
    </row>
    <row r="1240" spans="10:11" x14ac:dyDescent="0.25">
      <c r="J1240" s="459"/>
      <c r="K1240" s="459"/>
    </row>
    <row r="1241" spans="10:11" x14ac:dyDescent="0.25">
      <c r="J1241" s="459"/>
      <c r="K1241" s="459"/>
    </row>
    <row r="1242" spans="10:11" x14ac:dyDescent="0.25">
      <c r="J1242" s="459"/>
      <c r="K1242" s="459"/>
    </row>
    <row r="1243" spans="10:11" x14ac:dyDescent="0.25">
      <c r="J1243" s="459"/>
      <c r="K1243" s="459"/>
    </row>
    <row r="1244" spans="10:11" x14ac:dyDescent="0.25">
      <c r="J1244" s="459"/>
      <c r="K1244" s="459"/>
    </row>
    <row r="1245" spans="10:11" x14ac:dyDescent="0.25">
      <c r="J1245" s="459"/>
      <c r="K1245" s="459"/>
    </row>
    <row r="1246" spans="10:11" x14ac:dyDescent="0.25">
      <c r="J1246" s="459"/>
      <c r="K1246" s="459"/>
    </row>
    <row r="1247" spans="10:11" x14ac:dyDescent="0.25">
      <c r="J1247" s="459"/>
      <c r="K1247" s="459"/>
    </row>
    <row r="1248" spans="10:11" x14ac:dyDescent="0.25">
      <c r="J1248" s="459"/>
      <c r="K1248" s="459"/>
    </row>
    <row r="1249" spans="10:11" x14ac:dyDescent="0.25">
      <c r="J1249" s="459"/>
      <c r="K1249" s="459"/>
    </row>
    <row r="1250" spans="10:11" x14ac:dyDescent="0.25">
      <c r="J1250" s="459"/>
      <c r="K1250" s="459"/>
    </row>
    <row r="1251" spans="10:11" x14ac:dyDescent="0.25">
      <c r="J1251" s="459"/>
      <c r="K1251" s="459"/>
    </row>
    <row r="1252" spans="10:11" x14ac:dyDescent="0.25">
      <c r="J1252" s="459"/>
      <c r="K1252" s="459"/>
    </row>
    <row r="1253" spans="10:11" x14ac:dyDescent="0.25">
      <c r="J1253" s="459"/>
      <c r="K1253" s="459"/>
    </row>
    <row r="1254" spans="10:11" x14ac:dyDescent="0.25">
      <c r="J1254" s="459"/>
      <c r="K1254" s="459"/>
    </row>
    <row r="1255" spans="10:11" x14ac:dyDescent="0.25">
      <c r="J1255" s="459"/>
      <c r="K1255" s="459"/>
    </row>
    <row r="1256" spans="10:11" x14ac:dyDescent="0.25">
      <c r="J1256" s="459"/>
      <c r="K1256" s="459"/>
    </row>
    <row r="1257" spans="10:11" x14ac:dyDescent="0.25">
      <c r="J1257" s="459"/>
      <c r="K1257" s="459"/>
    </row>
    <row r="1258" spans="10:11" x14ac:dyDescent="0.25">
      <c r="J1258" s="459"/>
      <c r="K1258" s="459"/>
    </row>
    <row r="1259" spans="10:11" x14ac:dyDescent="0.25">
      <c r="J1259" s="459"/>
      <c r="K1259" s="459"/>
    </row>
    <row r="1260" spans="10:11" x14ac:dyDescent="0.25">
      <c r="J1260" s="459"/>
      <c r="K1260" s="459"/>
    </row>
    <row r="1261" spans="10:11" x14ac:dyDescent="0.25">
      <c r="J1261" s="459"/>
      <c r="K1261" s="459"/>
    </row>
    <row r="1262" spans="10:11" x14ac:dyDescent="0.25">
      <c r="J1262" s="459"/>
      <c r="K1262" s="459"/>
    </row>
    <row r="1263" spans="10:11" x14ac:dyDescent="0.25">
      <c r="J1263" s="459"/>
      <c r="K1263" s="459"/>
    </row>
    <row r="1264" spans="10:11" x14ac:dyDescent="0.25">
      <c r="J1264" s="459"/>
      <c r="K1264" s="459"/>
    </row>
    <row r="1265" spans="10:11" x14ac:dyDescent="0.25">
      <c r="J1265" s="459"/>
      <c r="K1265" s="459"/>
    </row>
    <row r="1266" spans="10:11" x14ac:dyDescent="0.25">
      <c r="J1266" s="459"/>
      <c r="K1266" s="459"/>
    </row>
    <row r="1267" spans="10:11" x14ac:dyDescent="0.25">
      <c r="J1267" s="459"/>
      <c r="K1267" s="459"/>
    </row>
    <row r="1268" spans="10:11" x14ac:dyDescent="0.25">
      <c r="J1268" s="459"/>
      <c r="K1268" s="459"/>
    </row>
    <row r="1269" spans="10:11" x14ac:dyDescent="0.25">
      <c r="J1269" s="459"/>
      <c r="K1269" s="459"/>
    </row>
    <row r="1270" spans="10:11" x14ac:dyDescent="0.25">
      <c r="J1270" s="459"/>
      <c r="K1270" s="459"/>
    </row>
    <row r="1271" spans="10:11" x14ac:dyDescent="0.25">
      <c r="J1271" s="459"/>
      <c r="K1271" s="459"/>
    </row>
    <row r="1272" spans="10:11" x14ac:dyDescent="0.25">
      <c r="J1272" s="459"/>
      <c r="K1272" s="459"/>
    </row>
    <row r="1273" spans="10:11" x14ac:dyDescent="0.25">
      <c r="J1273" s="459"/>
      <c r="K1273" s="459"/>
    </row>
    <row r="1274" spans="10:11" x14ac:dyDescent="0.25">
      <c r="J1274" s="459"/>
      <c r="K1274" s="459"/>
    </row>
    <row r="1275" spans="10:11" x14ac:dyDescent="0.25">
      <c r="J1275" s="459"/>
      <c r="K1275" s="459"/>
    </row>
    <row r="1276" spans="10:11" x14ac:dyDescent="0.25">
      <c r="J1276" s="459"/>
      <c r="K1276" s="459"/>
    </row>
    <row r="1277" spans="10:11" x14ac:dyDescent="0.25">
      <c r="J1277" s="459"/>
      <c r="K1277" s="459"/>
    </row>
    <row r="1278" spans="10:11" x14ac:dyDescent="0.25">
      <c r="J1278" s="459"/>
      <c r="K1278" s="459"/>
    </row>
    <row r="1279" spans="10:11" x14ac:dyDescent="0.25">
      <c r="J1279" s="459"/>
      <c r="K1279" s="459"/>
    </row>
    <row r="1280" spans="10:11" x14ac:dyDescent="0.25">
      <c r="J1280" s="459"/>
      <c r="K1280" s="459"/>
    </row>
    <row r="1281" spans="10:11" x14ac:dyDescent="0.25">
      <c r="J1281" s="459"/>
      <c r="K1281" s="459"/>
    </row>
    <row r="1282" spans="10:11" x14ac:dyDescent="0.25">
      <c r="J1282" s="459"/>
      <c r="K1282" s="459"/>
    </row>
    <row r="1283" spans="10:11" x14ac:dyDescent="0.25">
      <c r="J1283" s="459"/>
      <c r="K1283" s="459"/>
    </row>
    <row r="1284" spans="10:11" x14ac:dyDescent="0.25">
      <c r="J1284" s="459"/>
      <c r="K1284" s="459"/>
    </row>
    <row r="1285" spans="10:11" x14ac:dyDescent="0.25">
      <c r="J1285" s="459"/>
      <c r="K1285" s="459"/>
    </row>
    <row r="1286" spans="10:11" x14ac:dyDescent="0.25">
      <c r="J1286" s="459"/>
      <c r="K1286" s="459"/>
    </row>
    <row r="1287" spans="10:11" x14ac:dyDescent="0.25">
      <c r="J1287" s="459"/>
      <c r="K1287" s="459"/>
    </row>
    <row r="1288" spans="10:11" x14ac:dyDescent="0.25">
      <c r="J1288" s="459"/>
      <c r="K1288" s="459"/>
    </row>
    <row r="1289" spans="10:11" x14ac:dyDescent="0.25">
      <c r="J1289" s="459"/>
      <c r="K1289" s="459"/>
    </row>
    <row r="1290" spans="10:11" x14ac:dyDescent="0.25">
      <c r="J1290" s="459"/>
      <c r="K1290" s="459"/>
    </row>
    <row r="1291" spans="10:11" x14ac:dyDescent="0.25">
      <c r="J1291" s="459"/>
      <c r="K1291" s="459"/>
    </row>
    <row r="1292" spans="10:11" x14ac:dyDescent="0.25">
      <c r="J1292" s="459"/>
      <c r="K1292" s="459"/>
    </row>
    <row r="1293" spans="10:11" x14ac:dyDescent="0.25">
      <c r="J1293" s="459"/>
      <c r="K1293" s="459"/>
    </row>
    <row r="1294" spans="10:11" x14ac:dyDescent="0.25">
      <c r="J1294" s="459"/>
      <c r="K1294" s="459"/>
    </row>
    <row r="1295" spans="10:11" x14ac:dyDescent="0.25">
      <c r="J1295" s="459"/>
      <c r="K1295" s="459"/>
    </row>
    <row r="1296" spans="10:11" x14ac:dyDescent="0.25">
      <c r="J1296" s="459"/>
      <c r="K1296" s="459"/>
    </row>
    <row r="1297" spans="10:11" x14ac:dyDescent="0.25">
      <c r="J1297" s="459"/>
      <c r="K1297" s="459"/>
    </row>
    <row r="1298" spans="10:11" x14ac:dyDescent="0.25">
      <c r="J1298" s="459"/>
      <c r="K1298" s="459"/>
    </row>
    <row r="1299" spans="10:11" x14ac:dyDescent="0.25">
      <c r="J1299" s="459"/>
      <c r="K1299" s="459"/>
    </row>
    <row r="1300" spans="10:11" x14ac:dyDescent="0.25">
      <c r="J1300" s="459"/>
      <c r="K1300" s="459"/>
    </row>
    <row r="1301" spans="10:11" x14ac:dyDescent="0.25">
      <c r="J1301" s="459"/>
      <c r="K1301" s="459"/>
    </row>
    <row r="1302" spans="10:11" x14ac:dyDescent="0.25">
      <c r="J1302" s="459"/>
      <c r="K1302" s="459"/>
    </row>
    <row r="1303" spans="10:11" x14ac:dyDescent="0.25">
      <c r="J1303" s="459"/>
      <c r="K1303" s="459"/>
    </row>
    <row r="1304" spans="10:11" x14ac:dyDescent="0.25">
      <c r="J1304" s="459"/>
      <c r="K1304" s="459"/>
    </row>
    <row r="1305" spans="10:11" x14ac:dyDescent="0.25">
      <c r="J1305" s="459"/>
      <c r="K1305" s="459"/>
    </row>
    <row r="1306" spans="10:11" x14ac:dyDescent="0.25">
      <c r="J1306" s="459"/>
      <c r="K1306" s="459"/>
    </row>
    <row r="1307" spans="10:11" x14ac:dyDescent="0.25">
      <c r="J1307" s="459"/>
      <c r="K1307" s="459"/>
    </row>
    <row r="1308" spans="10:11" x14ac:dyDescent="0.25">
      <c r="J1308" s="459"/>
      <c r="K1308" s="459"/>
    </row>
    <row r="1309" spans="10:11" x14ac:dyDescent="0.25">
      <c r="J1309" s="459"/>
      <c r="K1309" s="459"/>
    </row>
    <row r="1310" spans="10:11" x14ac:dyDescent="0.25">
      <c r="J1310" s="459"/>
      <c r="K1310" s="459"/>
    </row>
    <row r="1311" spans="10:11" x14ac:dyDescent="0.25">
      <c r="J1311" s="459"/>
      <c r="K1311" s="459"/>
    </row>
    <row r="1312" spans="10:11" x14ac:dyDescent="0.25">
      <c r="J1312" s="459"/>
      <c r="K1312" s="459"/>
    </row>
    <row r="1313" spans="10:11" x14ac:dyDescent="0.25">
      <c r="J1313" s="459"/>
      <c r="K1313" s="459"/>
    </row>
    <row r="1314" spans="10:11" x14ac:dyDescent="0.25">
      <c r="J1314" s="459"/>
      <c r="K1314" s="459"/>
    </row>
    <row r="1315" spans="10:11" x14ac:dyDescent="0.25">
      <c r="J1315" s="459"/>
      <c r="K1315" s="459"/>
    </row>
    <row r="1316" spans="10:11" x14ac:dyDescent="0.25">
      <c r="J1316" s="459"/>
      <c r="K1316" s="459"/>
    </row>
    <row r="1317" spans="10:11" x14ac:dyDescent="0.25">
      <c r="J1317" s="459"/>
      <c r="K1317" s="459"/>
    </row>
    <row r="1318" spans="10:11" x14ac:dyDescent="0.25">
      <c r="J1318" s="459"/>
      <c r="K1318" s="459"/>
    </row>
    <row r="1319" spans="10:11" x14ac:dyDescent="0.25">
      <c r="J1319" s="459"/>
      <c r="K1319" s="459"/>
    </row>
    <row r="1320" spans="10:11" x14ac:dyDescent="0.25">
      <c r="J1320" s="459"/>
      <c r="K1320" s="459"/>
    </row>
  </sheetData>
  <sheetProtection algorithmName="SHA-512" hashValue="LKwHlhdmMA7Um8csigJFIgJU+jiI+HrdP/GxIuLxYV7WBmgJzBHmZO21MVEVZzXhOWwHwfbIYgpVlpWrNHx8GA==" saltValue="gCzVwbbP7h7JYD3mzNcWwQ==" spinCount="100000" sheet="1" objects="1" scenarios="1"/>
  <protectedRanges>
    <protectedRange sqref="H21:I21" name="Rango1"/>
    <protectedRange sqref="A22" name="Rango2"/>
    <protectedRange sqref="B14:B17" name="Rango3"/>
  </protectedRanges>
  <mergeCells count="52">
    <mergeCell ref="A146:G146"/>
    <mergeCell ref="B5:C5"/>
    <mergeCell ref="A1:A2"/>
    <mergeCell ref="B4:E4"/>
    <mergeCell ref="A124:B124"/>
    <mergeCell ref="B6:C6"/>
    <mergeCell ref="C7:D7"/>
    <mergeCell ref="A8:H8"/>
    <mergeCell ref="A10:H10"/>
    <mergeCell ref="A17:F17"/>
    <mergeCell ref="A19:L19"/>
    <mergeCell ref="A20:L20"/>
    <mergeCell ref="A21:G21"/>
    <mergeCell ref="A22:D22"/>
    <mergeCell ref="E22:I22"/>
    <mergeCell ref="A123:B123"/>
    <mergeCell ref="A139:K139"/>
    <mergeCell ref="A140:B140"/>
    <mergeCell ref="A141:B141"/>
    <mergeCell ref="A142:B142"/>
    <mergeCell ref="A144:B144"/>
    <mergeCell ref="A125:B125"/>
    <mergeCell ref="A127:L127"/>
    <mergeCell ref="A129:L129"/>
    <mergeCell ref="A132:F132"/>
    <mergeCell ref="G132:L132"/>
    <mergeCell ref="A159:F159"/>
    <mergeCell ref="A160:F160"/>
    <mergeCell ref="G161:J161"/>
    <mergeCell ref="A163:E164"/>
    <mergeCell ref="D148:I148"/>
    <mergeCell ref="G155:J155"/>
    <mergeCell ref="A156:F156"/>
    <mergeCell ref="G156:H156"/>
    <mergeCell ref="A157:F157"/>
    <mergeCell ref="A158:F158"/>
    <mergeCell ref="B1:K2"/>
    <mergeCell ref="A175:M175"/>
    <mergeCell ref="A176:E176"/>
    <mergeCell ref="F176:G176"/>
    <mergeCell ref="H176:J176"/>
    <mergeCell ref="K176:M176"/>
    <mergeCell ref="A168:M170"/>
    <mergeCell ref="A171:J171"/>
    <mergeCell ref="K171:M171"/>
    <mergeCell ref="A172:M172"/>
    <mergeCell ref="A173:E174"/>
    <mergeCell ref="F173:J174"/>
    <mergeCell ref="K173:M174"/>
    <mergeCell ref="A165:H165"/>
    <mergeCell ref="D152:I152"/>
    <mergeCell ref="A155:F155"/>
  </mergeCells>
  <conditionalFormatting sqref="H164">
    <cfRule type="expression" dxfId="225" priority="13">
      <formula>$H$164="EFICAZ"</formula>
    </cfRule>
    <cfRule type="expression" dxfId="224" priority="14">
      <formula>$H$164="INEFICAZ"</formula>
    </cfRule>
  </conditionalFormatting>
  <conditionalFormatting sqref="J80:K80">
    <cfRule type="expression" dxfId="223" priority="15">
      <formula>$J$80="NO"</formula>
    </cfRule>
    <cfRule type="expression" dxfId="222" priority="16">
      <formula>$J$80="SI"</formula>
    </cfRule>
  </conditionalFormatting>
  <conditionalFormatting sqref="A1:B1">
    <cfRule type="cellIs" dxfId="221" priority="1" operator="equal">
      <formula>"ERROR"</formula>
    </cfRule>
  </conditionalFormatting>
  <conditionalFormatting sqref="L1:L2">
    <cfRule type="cellIs" dxfId="220" priority="2" operator="equal">
      <formula>"INEXISTENTE"</formula>
    </cfRule>
    <cfRule type="cellIs" dxfId="219" priority="3" operator="equal">
      <formula>"INADECUADO"</formula>
    </cfRule>
    <cfRule type="cellIs" dxfId="218" priority="4" operator="equal">
      <formula>"PARCIALMENTE ADECUADO"</formula>
    </cfRule>
    <cfRule type="cellIs" dxfId="217" priority="5" operator="equal">
      <formula>"ADECUADO"</formula>
    </cfRule>
    <cfRule type="cellIs" dxfId="216" priority="6" operator="equal">
      <formula>"ERROR"</formula>
    </cfRule>
  </conditionalFormatting>
  <dataValidations disablePrompts="1" count="3">
    <dataValidation type="list" allowBlank="1" showInputMessage="1" showErrorMessage="1" sqref="J24:J78 WVR983077:WVR983130 WLV983077:WLV983130 WBZ983077:WBZ983130 VSD983077:VSD983130 VIH983077:VIH983130 UYL983077:UYL983130 UOP983077:UOP983130 UET983077:UET983130 TUX983077:TUX983130 TLB983077:TLB983130 TBF983077:TBF983130 SRJ983077:SRJ983130 SHN983077:SHN983130 RXR983077:RXR983130 RNV983077:RNV983130 RDZ983077:RDZ983130 QUD983077:QUD983130 QKH983077:QKH983130 QAL983077:QAL983130 PQP983077:PQP983130 PGT983077:PGT983130 OWX983077:OWX983130 ONB983077:ONB983130 ODF983077:ODF983130 NTJ983077:NTJ983130 NJN983077:NJN983130 MZR983077:MZR983130 MPV983077:MPV983130 MFZ983077:MFZ983130 LWD983077:LWD983130 LMH983077:LMH983130 LCL983077:LCL983130 KSP983077:KSP983130 KIT983077:KIT983130 JYX983077:JYX983130 JPB983077:JPB983130 JFF983077:JFF983130 IVJ983077:IVJ983130 ILN983077:ILN983130 IBR983077:IBR983130 HRV983077:HRV983130 HHZ983077:HHZ983130 GYD983077:GYD983130 GOH983077:GOH983130 GEL983077:GEL983130 FUP983077:FUP983130 FKT983077:FKT983130 FAX983077:FAX983130 ERB983077:ERB983130 EHF983077:EHF983130 DXJ983077:DXJ983130 DNN983077:DNN983130 DDR983077:DDR983130 CTV983077:CTV983130 CJZ983077:CJZ983130 CAD983077:CAD983130 BQH983077:BQH983130 BGL983077:BGL983130 AWP983077:AWP983130 AMT983077:AMT983130 ACX983077:ACX983130 TB983077:TB983130 JF983077:JF983130 J983077:J983130 WVR917541:WVR917594 WLV917541:WLV917594 WBZ917541:WBZ917594 VSD917541:VSD917594 VIH917541:VIH917594 UYL917541:UYL917594 UOP917541:UOP917594 UET917541:UET917594 TUX917541:TUX917594 TLB917541:TLB917594 TBF917541:TBF917594 SRJ917541:SRJ917594 SHN917541:SHN917594 RXR917541:RXR917594 RNV917541:RNV917594 RDZ917541:RDZ917594 QUD917541:QUD917594 QKH917541:QKH917594 QAL917541:QAL917594 PQP917541:PQP917594 PGT917541:PGT917594 OWX917541:OWX917594 ONB917541:ONB917594 ODF917541:ODF917594 NTJ917541:NTJ917594 NJN917541:NJN917594 MZR917541:MZR917594 MPV917541:MPV917594 MFZ917541:MFZ917594 LWD917541:LWD917594 LMH917541:LMH917594 LCL917541:LCL917594 KSP917541:KSP917594 KIT917541:KIT917594 JYX917541:JYX917594 JPB917541:JPB917594 JFF917541:JFF917594 IVJ917541:IVJ917594 ILN917541:ILN917594 IBR917541:IBR917594 HRV917541:HRV917594 HHZ917541:HHZ917594 GYD917541:GYD917594 GOH917541:GOH917594 GEL917541:GEL917594 FUP917541:FUP917594 FKT917541:FKT917594 FAX917541:FAX917594 ERB917541:ERB917594 EHF917541:EHF917594 DXJ917541:DXJ917594 DNN917541:DNN917594 DDR917541:DDR917594 CTV917541:CTV917594 CJZ917541:CJZ917594 CAD917541:CAD917594 BQH917541:BQH917594 BGL917541:BGL917594 AWP917541:AWP917594 AMT917541:AMT917594 ACX917541:ACX917594 TB917541:TB917594 JF917541:JF917594 J917541:J917594 WVR852005:WVR852058 WLV852005:WLV852058 WBZ852005:WBZ852058 VSD852005:VSD852058 VIH852005:VIH852058 UYL852005:UYL852058 UOP852005:UOP852058 UET852005:UET852058 TUX852005:TUX852058 TLB852005:TLB852058 TBF852005:TBF852058 SRJ852005:SRJ852058 SHN852005:SHN852058 RXR852005:RXR852058 RNV852005:RNV852058 RDZ852005:RDZ852058 QUD852005:QUD852058 QKH852005:QKH852058 QAL852005:QAL852058 PQP852005:PQP852058 PGT852005:PGT852058 OWX852005:OWX852058 ONB852005:ONB852058 ODF852005:ODF852058 NTJ852005:NTJ852058 NJN852005:NJN852058 MZR852005:MZR852058 MPV852005:MPV852058 MFZ852005:MFZ852058 LWD852005:LWD852058 LMH852005:LMH852058 LCL852005:LCL852058 KSP852005:KSP852058 KIT852005:KIT852058 JYX852005:JYX852058 JPB852005:JPB852058 JFF852005:JFF852058 IVJ852005:IVJ852058 ILN852005:ILN852058 IBR852005:IBR852058 HRV852005:HRV852058 HHZ852005:HHZ852058 GYD852005:GYD852058 GOH852005:GOH852058 GEL852005:GEL852058 FUP852005:FUP852058 FKT852005:FKT852058 FAX852005:FAX852058 ERB852005:ERB852058 EHF852005:EHF852058 DXJ852005:DXJ852058 DNN852005:DNN852058 DDR852005:DDR852058 CTV852005:CTV852058 CJZ852005:CJZ852058 CAD852005:CAD852058 BQH852005:BQH852058 BGL852005:BGL852058 AWP852005:AWP852058 AMT852005:AMT852058 ACX852005:ACX852058 TB852005:TB852058 JF852005:JF852058 J852005:J852058 WVR786469:WVR786522 WLV786469:WLV786522 WBZ786469:WBZ786522 VSD786469:VSD786522 VIH786469:VIH786522 UYL786469:UYL786522 UOP786469:UOP786522 UET786469:UET786522 TUX786469:TUX786522 TLB786469:TLB786522 TBF786469:TBF786522 SRJ786469:SRJ786522 SHN786469:SHN786522 RXR786469:RXR786522 RNV786469:RNV786522 RDZ786469:RDZ786522 QUD786469:QUD786522 QKH786469:QKH786522 QAL786469:QAL786522 PQP786469:PQP786522 PGT786469:PGT786522 OWX786469:OWX786522 ONB786469:ONB786522 ODF786469:ODF786522 NTJ786469:NTJ786522 NJN786469:NJN786522 MZR786469:MZR786522 MPV786469:MPV786522 MFZ786469:MFZ786522 LWD786469:LWD786522 LMH786469:LMH786522 LCL786469:LCL786522 KSP786469:KSP786522 KIT786469:KIT786522 JYX786469:JYX786522 JPB786469:JPB786522 JFF786469:JFF786522 IVJ786469:IVJ786522 ILN786469:ILN786522 IBR786469:IBR786522 HRV786469:HRV786522 HHZ786469:HHZ786522 GYD786469:GYD786522 GOH786469:GOH786522 GEL786469:GEL786522 FUP786469:FUP786522 FKT786469:FKT786522 FAX786469:FAX786522 ERB786469:ERB786522 EHF786469:EHF786522 DXJ786469:DXJ786522 DNN786469:DNN786522 DDR786469:DDR786522 CTV786469:CTV786522 CJZ786469:CJZ786522 CAD786469:CAD786522 BQH786469:BQH786522 BGL786469:BGL786522 AWP786469:AWP786522 AMT786469:AMT786522 ACX786469:ACX786522 TB786469:TB786522 JF786469:JF786522 J786469:J786522 WVR720933:WVR720986 WLV720933:WLV720986 WBZ720933:WBZ720986 VSD720933:VSD720986 VIH720933:VIH720986 UYL720933:UYL720986 UOP720933:UOP720986 UET720933:UET720986 TUX720933:TUX720986 TLB720933:TLB720986 TBF720933:TBF720986 SRJ720933:SRJ720986 SHN720933:SHN720986 RXR720933:RXR720986 RNV720933:RNV720986 RDZ720933:RDZ720986 QUD720933:QUD720986 QKH720933:QKH720986 QAL720933:QAL720986 PQP720933:PQP720986 PGT720933:PGT720986 OWX720933:OWX720986 ONB720933:ONB720986 ODF720933:ODF720986 NTJ720933:NTJ720986 NJN720933:NJN720986 MZR720933:MZR720986 MPV720933:MPV720986 MFZ720933:MFZ720986 LWD720933:LWD720986 LMH720933:LMH720986 LCL720933:LCL720986 KSP720933:KSP720986 KIT720933:KIT720986 JYX720933:JYX720986 JPB720933:JPB720986 JFF720933:JFF720986 IVJ720933:IVJ720986 ILN720933:ILN720986 IBR720933:IBR720986 HRV720933:HRV720986 HHZ720933:HHZ720986 GYD720933:GYD720986 GOH720933:GOH720986 GEL720933:GEL720986 FUP720933:FUP720986 FKT720933:FKT720986 FAX720933:FAX720986 ERB720933:ERB720986 EHF720933:EHF720986 DXJ720933:DXJ720986 DNN720933:DNN720986 DDR720933:DDR720986 CTV720933:CTV720986 CJZ720933:CJZ720986 CAD720933:CAD720986 BQH720933:BQH720986 BGL720933:BGL720986 AWP720933:AWP720986 AMT720933:AMT720986 ACX720933:ACX720986 TB720933:TB720986 JF720933:JF720986 J720933:J720986 WVR655397:WVR655450 WLV655397:WLV655450 WBZ655397:WBZ655450 VSD655397:VSD655450 VIH655397:VIH655450 UYL655397:UYL655450 UOP655397:UOP655450 UET655397:UET655450 TUX655397:TUX655450 TLB655397:TLB655450 TBF655397:TBF655450 SRJ655397:SRJ655450 SHN655397:SHN655450 RXR655397:RXR655450 RNV655397:RNV655450 RDZ655397:RDZ655450 QUD655397:QUD655450 QKH655397:QKH655450 QAL655397:QAL655450 PQP655397:PQP655450 PGT655397:PGT655450 OWX655397:OWX655450 ONB655397:ONB655450 ODF655397:ODF655450 NTJ655397:NTJ655450 NJN655397:NJN655450 MZR655397:MZR655450 MPV655397:MPV655450 MFZ655397:MFZ655450 LWD655397:LWD655450 LMH655397:LMH655450 LCL655397:LCL655450 KSP655397:KSP655450 KIT655397:KIT655450 JYX655397:JYX655450 JPB655397:JPB655450 JFF655397:JFF655450 IVJ655397:IVJ655450 ILN655397:ILN655450 IBR655397:IBR655450 HRV655397:HRV655450 HHZ655397:HHZ655450 GYD655397:GYD655450 GOH655397:GOH655450 GEL655397:GEL655450 FUP655397:FUP655450 FKT655397:FKT655450 FAX655397:FAX655450 ERB655397:ERB655450 EHF655397:EHF655450 DXJ655397:DXJ655450 DNN655397:DNN655450 DDR655397:DDR655450 CTV655397:CTV655450 CJZ655397:CJZ655450 CAD655397:CAD655450 BQH655397:BQH655450 BGL655397:BGL655450 AWP655397:AWP655450 AMT655397:AMT655450 ACX655397:ACX655450 TB655397:TB655450 JF655397:JF655450 J655397:J655450 WVR589861:WVR589914 WLV589861:WLV589914 WBZ589861:WBZ589914 VSD589861:VSD589914 VIH589861:VIH589914 UYL589861:UYL589914 UOP589861:UOP589914 UET589861:UET589914 TUX589861:TUX589914 TLB589861:TLB589914 TBF589861:TBF589914 SRJ589861:SRJ589914 SHN589861:SHN589914 RXR589861:RXR589914 RNV589861:RNV589914 RDZ589861:RDZ589914 QUD589861:QUD589914 QKH589861:QKH589914 QAL589861:QAL589914 PQP589861:PQP589914 PGT589861:PGT589914 OWX589861:OWX589914 ONB589861:ONB589914 ODF589861:ODF589914 NTJ589861:NTJ589914 NJN589861:NJN589914 MZR589861:MZR589914 MPV589861:MPV589914 MFZ589861:MFZ589914 LWD589861:LWD589914 LMH589861:LMH589914 LCL589861:LCL589914 KSP589861:KSP589914 KIT589861:KIT589914 JYX589861:JYX589914 JPB589861:JPB589914 JFF589861:JFF589914 IVJ589861:IVJ589914 ILN589861:ILN589914 IBR589861:IBR589914 HRV589861:HRV589914 HHZ589861:HHZ589914 GYD589861:GYD589914 GOH589861:GOH589914 GEL589861:GEL589914 FUP589861:FUP589914 FKT589861:FKT589914 FAX589861:FAX589914 ERB589861:ERB589914 EHF589861:EHF589914 DXJ589861:DXJ589914 DNN589861:DNN589914 DDR589861:DDR589914 CTV589861:CTV589914 CJZ589861:CJZ589914 CAD589861:CAD589914 BQH589861:BQH589914 BGL589861:BGL589914 AWP589861:AWP589914 AMT589861:AMT589914 ACX589861:ACX589914 TB589861:TB589914 JF589861:JF589914 J589861:J589914 WVR524325:WVR524378 WLV524325:WLV524378 WBZ524325:WBZ524378 VSD524325:VSD524378 VIH524325:VIH524378 UYL524325:UYL524378 UOP524325:UOP524378 UET524325:UET524378 TUX524325:TUX524378 TLB524325:TLB524378 TBF524325:TBF524378 SRJ524325:SRJ524378 SHN524325:SHN524378 RXR524325:RXR524378 RNV524325:RNV524378 RDZ524325:RDZ524378 QUD524325:QUD524378 QKH524325:QKH524378 QAL524325:QAL524378 PQP524325:PQP524378 PGT524325:PGT524378 OWX524325:OWX524378 ONB524325:ONB524378 ODF524325:ODF524378 NTJ524325:NTJ524378 NJN524325:NJN524378 MZR524325:MZR524378 MPV524325:MPV524378 MFZ524325:MFZ524378 LWD524325:LWD524378 LMH524325:LMH524378 LCL524325:LCL524378 KSP524325:KSP524378 KIT524325:KIT524378 JYX524325:JYX524378 JPB524325:JPB524378 JFF524325:JFF524378 IVJ524325:IVJ524378 ILN524325:ILN524378 IBR524325:IBR524378 HRV524325:HRV524378 HHZ524325:HHZ524378 GYD524325:GYD524378 GOH524325:GOH524378 GEL524325:GEL524378 FUP524325:FUP524378 FKT524325:FKT524378 FAX524325:FAX524378 ERB524325:ERB524378 EHF524325:EHF524378 DXJ524325:DXJ524378 DNN524325:DNN524378 DDR524325:DDR524378 CTV524325:CTV524378 CJZ524325:CJZ524378 CAD524325:CAD524378 BQH524325:BQH524378 BGL524325:BGL524378 AWP524325:AWP524378 AMT524325:AMT524378 ACX524325:ACX524378 TB524325:TB524378 JF524325:JF524378 J524325:J524378 WVR458789:WVR458842 WLV458789:WLV458842 WBZ458789:WBZ458842 VSD458789:VSD458842 VIH458789:VIH458842 UYL458789:UYL458842 UOP458789:UOP458842 UET458789:UET458842 TUX458789:TUX458842 TLB458789:TLB458842 TBF458789:TBF458842 SRJ458789:SRJ458842 SHN458789:SHN458842 RXR458789:RXR458842 RNV458789:RNV458842 RDZ458789:RDZ458842 QUD458789:QUD458842 QKH458789:QKH458842 QAL458789:QAL458842 PQP458789:PQP458842 PGT458789:PGT458842 OWX458789:OWX458842 ONB458789:ONB458842 ODF458789:ODF458842 NTJ458789:NTJ458842 NJN458789:NJN458842 MZR458789:MZR458842 MPV458789:MPV458842 MFZ458789:MFZ458842 LWD458789:LWD458842 LMH458789:LMH458842 LCL458789:LCL458842 KSP458789:KSP458842 KIT458789:KIT458842 JYX458789:JYX458842 JPB458789:JPB458842 JFF458789:JFF458842 IVJ458789:IVJ458842 ILN458789:ILN458842 IBR458789:IBR458842 HRV458789:HRV458842 HHZ458789:HHZ458842 GYD458789:GYD458842 GOH458789:GOH458842 GEL458789:GEL458842 FUP458789:FUP458842 FKT458789:FKT458842 FAX458789:FAX458842 ERB458789:ERB458842 EHF458789:EHF458842 DXJ458789:DXJ458842 DNN458789:DNN458842 DDR458789:DDR458842 CTV458789:CTV458842 CJZ458789:CJZ458842 CAD458789:CAD458842 BQH458789:BQH458842 BGL458789:BGL458842 AWP458789:AWP458842 AMT458789:AMT458842 ACX458789:ACX458842 TB458789:TB458842 JF458789:JF458842 J458789:J458842 WVR393253:WVR393306 WLV393253:WLV393306 WBZ393253:WBZ393306 VSD393253:VSD393306 VIH393253:VIH393306 UYL393253:UYL393306 UOP393253:UOP393306 UET393253:UET393306 TUX393253:TUX393306 TLB393253:TLB393306 TBF393253:TBF393306 SRJ393253:SRJ393306 SHN393253:SHN393306 RXR393253:RXR393306 RNV393253:RNV393306 RDZ393253:RDZ393306 QUD393253:QUD393306 QKH393253:QKH393306 QAL393253:QAL393306 PQP393253:PQP393306 PGT393253:PGT393306 OWX393253:OWX393306 ONB393253:ONB393306 ODF393253:ODF393306 NTJ393253:NTJ393306 NJN393253:NJN393306 MZR393253:MZR393306 MPV393253:MPV393306 MFZ393253:MFZ393306 LWD393253:LWD393306 LMH393253:LMH393306 LCL393253:LCL393306 KSP393253:KSP393306 KIT393253:KIT393306 JYX393253:JYX393306 JPB393253:JPB393306 JFF393253:JFF393306 IVJ393253:IVJ393306 ILN393253:ILN393306 IBR393253:IBR393306 HRV393253:HRV393306 HHZ393253:HHZ393306 GYD393253:GYD393306 GOH393253:GOH393306 GEL393253:GEL393306 FUP393253:FUP393306 FKT393253:FKT393306 FAX393253:FAX393306 ERB393253:ERB393306 EHF393253:EHF393306 DXJ393253:DXJ393306 DNN393253:DNN393306 DDR393253:DDR393306 CTV393253:CTV393306 CJZ393253:CJZ393306 CAD393253:CAD393306 BQH393253:BQH393306 BGL393253:BGL393306 AWP393253:AWP393306 AMT393253:AMT393306 ACX393253:ACX393306 TB393253:TB393306 JF393253:JF393306 J393253:J393306 WVR327717:WVR327770 WLV327717:WLV327770 WBZ327717:WBZ327770 VSD327717:VSD327770 VIH327717:VIH327770 UYL327717:UYL327770 UOP327717:UOP327770 UET327717:UET327770 TUX327717:TUX327770 TLB327717:TLB327770 TBF327717:TBF327770 SRJ327717:SRJ327770 SHN327717:SHN327770 RXR327717:RXR327770 RNV327717:RNV327770 RDZ327717:RDZ327770 QUD327717:QUD327770 QKH327717:QKH327770 QAL327717:QAL327770 PQP327717:PQP327770 PGT327717:PGT327770 OWX327717:OWX327770 ONB327717:ONB327770 ODF327717:ODF327770 NTJ327717:NTJ327770 NJN327717:NJN327770 MZR327717:MZR327770 MPV327717:MPV327770 MFZ327717:MFZ327770 LWD327717:LWD327770 LMH327717:LMH327770 LCL327717:LCL327770 KSP327717:KSP327770 KIT327717:KIT327770 JYX327717:JYX327770 JPB327717:JPB327770 JFF327717:JFF327770 IVJ327717:IVJ327770 ILN327717:ILN327770 IBR327717:IBR327770 HRV327717:HRV327770 HHZ327717:HHZ327770 GYD327717:GYD327770 GOH327717:GOH327770 GEL327717:GEL327770 FUP327717:FUP327770 FKT327717:FKT327770 FAX327717:FAX327770 ERB327717:ERB327770 EHF327717:EHF327770 DXJ327717:DXJ327770 DNN327717:DNN327770 DDR327717:DDR327770 CTV327717:CTV327770 CJZ327717:CJZ327770 CAD327717:CAD327770 BQH327717:BQH327770 BGL327717:BGL327770 AWP327717:AWP327770 AMT327717:AMT327770 ACX327717:ACX327770 TB327717:TB327770 JF327717:JF327770 J327717:J327770 WVR262181:WVR262234 WLV262181:WLV262234 WBZ262181:WBZ262234 VSD262181:VSD262234 VIH262181:VIH262234 UYL262181:UYL262234 UOP262181:UOP262234 UET262181:UET262234 TUX262181:TUX262234 TLB262181:TLB262234 TBF262181:TBF262234 SRJ262181:SRJ262234 SHN262181:SHN262234 RXR262181:RXR262234 RNV262181:RNV262234 RDZ262181:RDZ262234 QUD262181:QUD262234 QKH262181:QKH262234 QAL262181:QAL262234 PQP262181:PQP262234 PGT262181:PGT262234 OWX262181:OWX262234 ONB262181:ONB262234 ODF262181:ODF262234 NTJ262181:NTJ262234 NJN262181:NJN262234 MZR262181:MZR262234 MPV262181:MPV262234 MFZ262181:MFZ262234 LWD262181:LWD262234 LMH262181:LMH262234 LCL262181:LCL262234 KSP262181:KSP262234 KIT262181:KIT262234 JYX262181:JYX262234 JPB262181:JPB262234 JFF262181:JFF262234 IVJ262181:IVJ262234 ILN262181:ILN262234 IBR262181:IBR262234 HRV262181:HRV262234 HHZ262181:HHZ262234 GYD262181:GYD262234 GOH262181:GOH262234 GEL262181:GEL262234 FUP262181:FUP262234 FKT262181:FKT262234 FAX262181:FAX262234 ERB262181:ERB262234 EHF262181:EHF262234 DXJ262181:DXJ262234 DNN262181:DNN262234 DDR262181:DDR262234 CTV262181:CTV262234 CJZ262181:CJZ262234 CAD262181:CAD262234 BQH262181:BQH262234 BGL262181:BGL262234 AWP262181:AWP262234 AMT262181:AMT262234 ACX262181:ACX262234 TB262181:TB262234 JF262181:JF262234 J262181:J262234 WVR196645:WVR196698 WLV196645:WLV196698 WBZ196645:WBZ196698 VSD196645:VSD196698 VIH196645:VIH196698 UYL196645:UYL196698 UOP196645:UOP196698 UET196645:UET196698 TUX196645:TUX196698 TLB196645:TLB196698 TBF196645:TBF196698 SRJ196645:SRJ196698 SHN196645:SHN196698 RXR196645:RXR196698 RNV196645:RNV196698 RDZ196645:RDZ196698 QUD196645:QUD196698 QKH196645:QKH196698 QAL196645:QAL196698 PQP196645:PQP196698 PGT196645:PGT196698 OWX196645:OWX196698 ONB196645:ONB196698 ODF196645:ODF196698 NTJ196645:NTJ196698 NJN196645:NJN196698 MZR196645:MZR196698 MPV196645:MPV196698 MFZ196645:MFZ196698 LWD196645:LWD196698 LMH196645:LMH196698 LCL196645:LCL196698 KSP196645:KSP196698 KIT196645:KIT196698 JYX196645:JYX196698 JPB196645:JPB196698 JFF196645:JFF196698 IVJ196645:IVJ196698 ILN196645:ILN196698 IBR196645:IBR196698 HRV196645:HRV196698 HHZ196645:HHZ196698 GYD196645:GYD196698 GOH196645:GOH196698 GEL196645:GEL196698 FUP196645:FUP196698 FKT196645:FKT196698 FAX196645:FAX196698 ERB196645:ERB196698 EHF196645:EHF196698 DXJ196645:DXJ196698 DNN196645:DNN196698 DDR196645:DDR196698 CTV196645:CTV196698 CJZ196645:CJZ196698 CAD196645:CAD196698 BQH196645:BQH196698 BGL196645:BGL196698 AWP196645:AWP196698 AMT196645:AMT196698 ACX196645:ACX196698 TB196645:TB196698 JF196645:JF196698 J196645:J196698 WVR131109:WVR131162 WLV131109:WLV131162 WBZ131109:WBZ131162 VSD131109:VSD131162 VIH131109:VIH131162 UYL131109:UYL131162 UOP131109:UOP131162 UET131109:UET131162 TUX131109:TUX131162 TLB131109:TLB131162 TBF131109:TBF131162 SRJ131109:SRJ131162 SHN131109:SHN131162 RXR131109:RXR131162 RNV131109:RNV131162 RDZ131109:RDZ131162 QUD131109:QUD131162 QKH131109:QKH131162 QAL131109:QAL131162 PQP131109:PQP131162 PGT131109:PGT131162 OWX131109:OWX131162 ONB131109:ONB131162 ODF131109:ODF131162 NTJ131109:NTJ131162 NJN131109:NJN131162 MZR131109:MZR131162 MPV131109:MPV131162 MFZ131109:MFZ131162 LWD131109:LWD131162 LMH131109:LMH131162 LCL131109:LCL131162 KSP131109:KSP131162 KIT131109:KIT131162 JYX131109:JYX131162 JPB131109:JPB131162 JFF131109:JFF131162 IVJ131109:IVJ131162 ILN131109:ILN131162 IBR131109:IBR131162 HRV131109:HRV131162 HHZ131109:HHZ131162 GYD131109:GYD131162 GOH131109:GOH131162 GEL131109:GEL131162 FUP131109:FUP131162 FKT131109:FKT131162 FAX131109:FAX131162 ERB131109:ERB131162 EHF131109:EHF131162 DXJ131109:DXJ131162 DNN131109:DNN131162 DDR131109:DDR131162 CTV131109:CTV131162 CJZ131109:CJZ131162 CAD131109:CAD131162 BQH131109:BQH131162 BGL131109:BGL131162 AWP131109:AWP131162 AMT131109:AMT131162 ACX131109:ACX131162 TB131109:TB131162 JF131109:JF131162 J131109:J131162 WVR65573:WVR65626 WLV65573:WLV65626 WBZ65573:WBZ65626 VSD65573:VSD65626 VIH65573:VIH65626 UYL65573:UYL65626 UOP65573:UOP65626 UET65573:UET65626 TUX65573:TUX65626 TLB65573:TLB65626 TBF65573:TBF65626 SRJ65573:SRJ65626 SHN65573:SHN65626 RXR65573:RXR65626 RNV65573:RNV65626 RDZ65573:RDZ65626 QUD65573:QUD65626 QKH65573:QKH65626 QAL65573:QAL65626 PQP65573:PQP65626 PGT65573:PGT65626 OWX65573:OWX65626 ONB65573:ONB65626 ODF65573:ODF65626 NTJ65573:NTJ65626 NJN65573:NJN65626 MZR65573:MZR65626 MPV65573:MPV65626 MFZ65573:MFZ65626 LWD65573:LWD65626 LMH65573:LMH65626 LCL65573:LCL65626 KSP65573:KSP65626 KIT65573:KIT65626 JYX65573:JYX65626 JPB65573:JPB65626 JFF65573:JFF65626 IVJ65573:IVJ65626 ILN65573:ILN65626 IBR65573:IBR65626 HRV65573:HRV65626 HHZ65573:HHZ65626 GYD65573:GYD65626 GOH65573:GOH65626 GEL65573:GEL65626 FUP65573:FUP65626 FKT65573:FKT65626 FAX65573:FAX65626 ERB65573:ERB65626 EHF65573:EHF65626 DXJ65573:DXJ65626 DNN65573:DNN65626 DDR65573:DDR65626 CTV65573:CTV65626 CJZ65573:CJZ65626 CAD65573:CAD65626 BQH65573:BQH65626 BGL65573:BGL65626 AWP65573:AWP65626 AMT65573:AMT65626 ACX65573:ACX65626 TB65573:TB65626 JF65573:JF65626 J65573:J65626 WVR24:WVR78 WLV24:WLV78 WBZ24:WBZ78 VSD24:VSD78 VIH24:VIH78 UYL24:UYL78 UOP24:UOP78 UET24:UET78 TUX24:TUX78 TLB24:TLB78 TBF24:TBF78 SRJ24:SRJ78 SHN24:SHN78 RXR24:RXR78 RNV24:RNV78 RDZ24:RDZ78 QUD24:QUD78 QKH24:QKH78 QAL24:QAL78 PQP24:PQP78 PGT24:PGT78 OWX24:OWX78 ONB24:ONB78 ODF24:ODF78 NTJ24:NTJ78 NJN24:NJN78 MZR24:MZR78 MPV24:MPV78 MFZ24:MFZ78 LWD24:LWD78 LMH24:LMH78 LCL24:LCL78 KSP24:KSP78 KIT24:KIT78 JYX24:JYX78 JPB24:JPB78 JFF24:JFF78 IVJ24:IVJ78 ILN24:ILN78 IBR24:IBR78 HRV24:HRV78 HHZ24:HHZ78 GYD24:GYD78 GOH24:GOH78 GEL24:GEL78 FUP24:FUP78 FKT24:FKT78 FAX24:FAX78 ERB24:ERB78 EHF24:EHF78 DXJ24:DXJ78 DNN24:DNN78 DDR24:DDR78 CTV24:CTV78 CJZ24:CJZ78 CAD24:CAD78 BQH24:BQH78 BGL24:BGL78 AWP24:AWP78 AMT24:AMT78 ACX24:ACX78 TB24:TB78 JF24:JF78">
      <formula1>$A$195:$A$198</formula1>
    </dataValidation>
    <dataValidation type="list" allowBlank="1" showInputMessage="1" showErrorMessage="1" sqref="J83:J121 WVR983135:WVR983173 WLV983135:WLV983173 WBZ983135:WBZ983173 VSD983135:VSD983173 VIH983135:VIH983173 UYL983135:UYL983173 UOP983135:UOP983173 UET983135:UET983173 TUX983135:TUX983173 TLB983135:TLB983173 TBF983135:TBF983173 SRJ983135:SRJ983173 SHN983135:SHN983173 RXR983135:RXR983173 RNV983135:RNV983173 RDZ983135:RDZ983173 QUD983135:QUD983173 QKH983135:QKH983173 QAL983135:QAL983173 PQP983135:PQP983173 PGT983135:PGT983173 OWX983135:OWX983173 ONB983135:ONB983173 ODF983135:ODF983173 NTJ983135:NTJ983173 NJN983135:NJN983173 MZR983135:MZR983173 MPV983135:MPV983173 MFZ983135:MFZ983173 LWD983135:LWD983173 LMH983135:LMH983173 LCL983135:LCL983173 KSP983135:KSP983173 KIT983135:KIT983173 JYX983135:JYX983173 JPB983135:JPB983173 JFF983135:JFF983173 IVJ983135:IVJ983173 ILN983135:ILN983173 IBR983135:IBR983173 HRV983135:HRV983173 HHZ983135:HHZ983173 GYD983135:GYD983173 GOH983135:GOH983173 GEL983135:GEL983173 FUP983135:FUP983173 FKT983135:FKT983173 FAX983135:FAX983173 ERB983135:ERB983173 EHF983135:EHF983173 DXJ983135:DXJ983173 DNN983135:DNN983173 DDR983135:DDR983173 CTV983135:CTV983173 CJZ983135:CJZ983173 CAD983135:CAD983173 BQH983135:BQH983173 BGL983135:BGL983173 AWP983135:AWP983173 AMT983135:AMT983173 ACX983135:ACX983173 TB983135:TB983173 JF983135:JF983173 J983135:J983173 WVR917599:WVR917637 WLV917599:WLV917637 WBZ917599:WBZ917637 VSD917599:VSD917637 VIH917599:VIH917637 UYL917599:UYL917637 UOP917599:UOP917637 UET917599:UET917637 TUX917599:TUX917637 TLB917599:TLB917637 TBF917599:TBF917637 SRJ917599:SRJ917637 SHN917599:SHN917637 RXR917599:RXR917637 RNV917599:RNV917637 RDZ917599:RDZ917637 QUD917599:QUD917637 QKH917599:QKH917637 QAL917599:QAL917637 PQP917599:PQP917637 PGT917599:PGT917637 OWX917599:OWX917637 ONB917599:ONB917637 ODF917599:ODF917637 NTJ917599:NTJ917637 NJN917599:NJN917637 MZR917599:MZR917637 MPV917599:MPV917637 MFZ917599:MFZ917637 LWD917599:LWD917637 LMH917599:LMH917637 LCL917599:LCL917637 KSP917599:KSP917637 KIT917599:KIT917637 JYX917599:JYX917637 JPB917599:JPB917637 JFF917599:JFF917637 IVJ917599:IVJ917637 ILN917599:ILN917637 IBR917599:IBR917637 HRV917599:HRV917637 HHZ917599:HHZ917637 GYD917599:GYD917637 GOH917599:GOH917637 GEL917599:GEL917637 FUP917599:FUP917637 FKT917599:FKT917637 FAX917599:FAX917637 ERB917599:ERB917637 EHF917599:EHF917637 DXJ917599:DXJ917637 DNN917599:DNN917637 DDR917599:DDR917637 CTV917599:CTV917637 CJZ917599:CJZ917637 CAD917599:CAD917637 BQH917599:BQH917637 BGL917599:BGL917637 AWP917599:AWP917637 AMT917599:AMT917637 ACX917599:ACX917637 TB917599:TB917637 JF917599:JF917637 J917599:J917637 WVR852063:WVR852101 WLV852063:WLV852101 WBZ852063:WBZ852101 VSD852063:VSD852101 VIH852063:VIH852101 UYL852063:UYL852101 UOP852063:UOP852101 UET852063:UET852101 TUX852063:TUX852101 TLB852063:TLB852101 TBF852063:TBF852101 SRJ852063:SRJ852101 SHN852063:SHN852101 RXR852063:RXR852101 RNV852063:RNV852101 RDZ852063:RDZ852101 QUD852063:QUD852101 QKH852063:QKH852101 QAL852063:QAL852101 PQP852063:PQP852101 PGT852063:PGT852101 OWX852063:OWX852101 ONB852063:ONB852101 ODF852063:ODF852101 NTJ852063:NTJ852101 NJN852063:NJN852101 MZR852063:MZR852101 MPV852063:MPV852101 MFZ852063:MFZ852101 LWD852063:LWD852101 LMH852063:LMH852101 LCL852063:LCL852101 KSP852063:KSP852101 KIT852063:KIT852101 JYX852063:JYX852101 JPB852063:JPB852101 JFF852063:JFF852101 IVJ852063:IVJ852101 ILN852063:ILN852101 IBR852063:IBR852101 HRV852063:HRV852101 HHZ852063:HHZ852101 GYD852063:GYD852101 GOH852063:GOH852101 GEL852063:GEL852101 FUP852063:FUP852101 FKT852063:FKT852101 FAX852063:FAX852101 ERB852063:ERB852101 EHF852063:EHF852101 DXJ852063:DXJ852101 DNN852063:DNN852101 DDR852063:DDR852101 CTV852063:CTV852101 CJZ852063:CJZ852101 CAD852063:CAD852101 BQH852063:BQH852101 BGL852063:BGL852101 AWP852063:AWP852101 AMT852063:AMT852101 ACX852063:ACX852101 TB852063:TB852101 JF852063:JF852101 J852063:J852101 WVR786527:WVR786565 WLV786527:WLV786565 WBZ786527:WBZ786565 VSD786527:VSD786565 VIH786527:VIH786565 UYL786527:UYL786565 UOP786527:UOP786565 UET786527:UET786565 TUX786527:TUX786565 TLB786527:TLB786565 TBF786527:TBF786565 SRJ786527:SRJ786565 SHN786527:SHN786565 RXR786527:RXR786565 RNV786527:RNV786565 RDZ786527:RDZ786565 QUD786527:QUD786565 QKH786527:QKH786565 QAL786527:QAL786565 PQP786527:PQP786565 PGT786527:PGT786565 OWX786527:OWX786565 ONB786527:ONB786565 ODF786527:ODF786565 NTJ786527:NTJ786565 NJN786527:NJN786565 MZR786527:MZR786565 MPV786527:MPV786565 MFZ786527:MFZ786565 LWD786527:LWD786565 LMH786527:LMH786565 LCL786527:LCL786565 KSP786527:KSP786565 KIT786527:KIT786565 JYX786527:JYX786565 JPB786527:JPB786565 JFF786527:JFF786565 IVJ786527:IVJ786565 ILN786527:ILN786565 IBR786527:IBR786565 HRV786527:HRV786565 HHZ786527:HHZ786565 GYD786527:GYD786565 GOH786527:GOH786565 GEL786527:GEL786565 FUP786527:FUP786565 FKT786527:FKT786565 FAX786527:FAX786565 ERB786527:ERB786565 EHF786527:EHF786565 DXJ786527:DXJ786565 DNN786527:DNN786565 DDR786527:DDR786565 CTV786527:CTV786565 CJZ786527:CJZ786565 CAD786527:CAD786565 BQH786527:BQH786565 BGL786527:BGL786565 AWP786527:AWP786565 AMT786527:AMT786565 ACX786527:ACX786565 TB786527:TB786565 JF786527:JF786565 J786527:J786565 WVR720991:WVR721029 WLV720991:WLV721029 WBZ720991:WBZ721029 VSD720991:VSD721029 VIH720991:VIH721029 UYL720991:UYL721029 UOP720991:UOP721029 UET720991:UET721029 TUX720991:TUX721029 TLB720991:TLB721029 TBF720991:TBF721029 SRJ720991:SRJ721029 SHN720991:SHN721029 RXR720991:RXR721029 RNV720991:RNV721029 RDZ720991:RDZ721029 QUD720991:QUD721029 QKH720991:QKH721029 QAL720991:QAL721029 PQP720991:PQP721029 PGT720991:PGT721029 OWX720991:OWX721029 ONB720991:ONB721029 ODF720991:ODF721029 NTJ720991:NTJ721029 NJN720991:NJN721029 MZR720991:MZR721029 MPV720991:MPV721029 MFZ720991:MFZ721029 LWD720991:LWD721029 LMH720991:LMH721029 LCL720991:LCL721029 KSP720991:KSP721029 KIT720991:KIT721029 JYX720991:JYX721029 JPB720991:JPB721029 JFF720991:JFF721029 IVJ720991:IVJ721029 ILN720991:ILN721029 IBR720991:IBR721029 HRV720991:HRV721029 HHZ720991:HHZ721029 GYD720991:GYD721029 GOH720991:GOH721029 GEL720991:GEL721029 FUP720991:FUP721029 FKT720991:FKT721029 FAX720991:FAX721029 ERB720991:ERB721029 EHF720991:EHF721029 DXJ720991:DXJ721029 DNN720991:DNN721029 DDR720991:DDR721029 CTV720991:CTV721029 CJZ720991:CJZ721029 CAD720991:CAD721029 BQH720991:BQH721029 BGL720991:BGL721029 AWP720991:AWP721029 AMT720991:AMT721029 ACX720991:ACX721029 TB720991:TB721029 JF720991:JF721029 J720991:J721029 WVR655455:WVR655493 WLV655455:WLV655493 WBZ655455:WBZ655493 VSD655455:VSD655493 VIH655455:VIH655493 UYL655455:UYL655493 UOP655455:UOP655493 UET655455:UET655493 TUX655455:TUX655493 TLB655455:TLB655493 TBF655455:TBF655493 SRJ655455:SRJ655493 SHN655455:SHN655493 RXR655455:RXR655493 RNV655455:RNV655493 RDZ655455:RDZ655493 QUD655455:QUD655493 QKH655455:QKH655493 QAL655455:QAL655493 PQP655455:PQP655493 PGT655455:PGT655493 OWX655455:OWX655493 ONB655455:ONB655493 ODF655455:ODF655493 NTJ655455:NTJ655493 NJN655455:NJN655493 MZR655455:MZR655493 MPV655455:MPV655493 MFZ655455:MFZ655493 LWD655455:LWD655493 LMH655455:LMH655493 LCL655455:LCL655493 KSP655455:KSP655493 KIT655455:KIT655493 JYX655455:JYX655493 JPB655455:JPB655493 JFF655455:JFF655493 IVJ655455:IVJ655493 ILN655455:ILN655493 IBR655455:IBR655493 HRV655455:HRV655493 HHZ655455:HHZ655493 GYD655455:GYD655493 GOH655455:GOH655493 GEL655455:GEL655493 FUP655455:FUP655493 FKT655455:FKT655493 FAX655455:FAX655493 ERB655455:ERB655493 EHF655455:EHF655493 DXJ655455:DXJ655493 DNN655455:DNN655493 DDR655455:DDR655493 CTV655455:CTV655493 CJZ655455:CJZ655493 CAD655455:CAD655493 BQH655455:BQH655493 BGL655455:BGL655493 AWP655455:AWP655493 AMT655455:AMT655493 ACX655455:ACX655493 TB655455:TB655493 JF655455:JF655493 J655455:J655493 WVR589919:WVR589957 WLV589919:WLV589957 WBZ589919:WBZ589957 VSD589919:VSD589957 VIH589919:VIH589957 UYL589919:UYL589957 UOP589919:UOP589957 UET589919:UET589957 TUX589919:TUX589957 TLB589919:TLB589957 TBF589919:TBF589957 SRJ589919:SRJ589957 SHN589919:SHN589957 RXR589919:RXR589957 RNV589919:RNV589957 RDZ589919:RDZ589957 QUD589919:QUD589957 QKH589919:QKH589957 QAL589919:QAL589957 PQP589919:PQP589957 PGT589919:PGT589957 OWX589919:OWX589957 ONB589919:ONB589957 ODF589919:ODF589957 NTJ589919:NTJ589957 NJN589919:NJN589957 MZR589919:MZR589957 MPV589919:MPV589957 MFZ589919:MFZ589957 LWD589919:LWD589957 LMH589919:LMH589957 LCL589919:LCL589957 KSP589919:KSP589957 KIT589919:KIT589957 JYX589919:JYX589957 JPB589919:JPB589957 JFF589919:JFF589957 IVJ589919:IVJ589957 ILN589919:ILN589957 IBR589919:IBR589957 HRV589919:HRV589957 HHZ589919:HHZ589957 GYD589919:GYD589957 GOH589919:GOH589957 GEL589919:GEL589957 FUP589919:FUP589957 FKT589919:FKT589957 FAX589919:FAX589957 ERB589919:ERB589957 EHF589919:EHF589957 DXJ589919:DXJ589957 DNN589919:DNN589957 DDR589919:DDR589957 CTV589919:CTV589957 CJZ589919:CJZ589957 CAD589919:CAD589957 BQH589919:BQH589957 BGL589919:BGL589957 AWP589919:AWP589957 AMT589919:AMT589957 ACX589919:ACX589957 TB589919:TB589957 JF589919:JF589957 J589919:J589957 WVR524383:WVR524421 WLV524383:WLV524421 WBZ524383:WBZ524421 VSD524383:VSD524421 VIH524383:VIH524421 UYL524383:UYL524421 UOP524383:UOP524421 UET524383:UET524421 TUX524383:TUX524421 TLB524383:TLB524421 TBF524383:TBF524421 SRJ524383:SRJ524421 SHN524383:SHN524421 RXR524383:RXR524421 RNV524383:RNV524421 RDZ524383:RDZ524421 QUD524383:QUD524421 QKH524383:QKH524421 QAL524383:QAL524421 PQP524383:PQP524421 PGT524383:PGT524421 OWX524383:OWX524421 ONB524383:ONB524421 ODF524383:ODF524421 NTJ524383:NTJ524421 NJN524383:NJN524421 MZR524383:MZR524421 MPV524383:MPV524421 MFZ524383:MFZ524421 LWD524383:LWD524421 LMH524383:LMH524421 LCL524383:LCL524421 KSP524383:KSP524421 KIT524383:KIT524421 JYX524383:JYX524421 JPB524383:JPB524421 JFF524383:JFF524421 IVJ524383:IVJ524421 ILN524383:ILN524421 IBR524383:IBR524421 HRV524383:HRV524421 HHZ524383:HHZ524421 GYD524383:GYD524421 GOH524383:GOH524421 GEL524383:GEL524421 FUP524383:FUP524421 FKT524383:FKT524421 FAX524383:FAX524421 ERB524383:ERB524421 EHF524383:EHF524421 DXJ524383:DXJ524421 DNN524383:DNN524421 DDR524383:DDR524421 CTV524383:CTV524421 CJZ524383:CJZ524421 CAD524383:CAD524421 BQH524383:BQH524421 BGL524383:BGL524421 AWP524383:AWP524421 AMT524383:AMT524421 ACX524383:ACX524421 TB524383:TB524421 JF524383:JF524421 J524383:J524421 WVR458847:WVR458885 WLV458847:WLV458885 WBZ458847:WBZ458885 VSD458847:VSD458885 VIH458847:VIH458885 UYL458847:UYL458885 UOP458847:UOP458885 UET458847:UET458885 TUX458847:TUX458885 TLB458847:TLB458885 TBF458847:TBF458885 SRJ458847:SRJ458885 SHN458847:SHN458885 RXR458847:RXR458885 RNV458847:RNV458885 RDZ458847:RDZ458885 QUD458847:QUD458885 QKH458847:QKH458885 QAL458847:QAL458885 PQP458847:PQP458885 PGT458847:PGT458885 OWX458847:OWX458885 ONB458847:ONB458885 ODF458847:ODF458885 NTJ458847:NTJ458885 NJN458847:NJN458885 MZR458847:MZR458885 MPV458847:MPV458885 MFZ458847:MFZ458885 LWD458847:LWD458885 LMH458847:LMH458885 LCL458847:LCL458885 KSP458847:KSP458885 KIT458847:KIT458885 JYX458847:JYX458885 JPB458847:JPB458885 JFF458847:JFF458885 IVJ458847:IVJ458885 ILN458847:ILN458885 IBR458847:IBR458885 HRV458847:HRV458885 HHZ458847:HHZ458885 GYD458847:GYD458885 GOH458847:GOH458885 GEL458847:GEL458885 FUP458847:FUP458885 FKT458847:FKT458885 FAX458847:FAX458885 ERB458847:ERB458885 EHF458847:EHF458885 DXJ458847:DXJ458885 DNN458847:DNN458885 DDR458847:DDR458885 CTV458847:CTV458885 CJZ458847:CJZ458885 CAD458847:CAD458885 BQH458847:BQH458885 BGL458847:BGL458885 AWP458847:AWP458885 AMT458847:AMT458885 ACX458847:ACX458885 TB458847:TB458885 JF458847:JF458885 J458847:J458885 WVR393311:WVR393349 WLV393311:WLV393349 WBZ393311:WBZ393349 VSD393311:VSD393349 VIH393311:VIH393349 UYL393311:UYL393349 UOP393311:UOP393349 UET393311:UET393349 TUX393311:TUX393349 TLB393311:TLB393349 TBF393311:TBF393349 SRJ393311:SRJ393349 SHN393311:SHN393349 RXR393311:RXR393349 RNV393311:RNV393349 RDZ393311:RDZ393349 QUD393311:QUD393349 QKH393311:QKH393349 QAL393311:QAL393349 PQP393311:PQP393349 PGT393311:PGT393349 OWX393311:OWX393349 ONB393311:ONB393349 ODF393311:ODF393349 NTJ393311:NTJ393349 NJN393311:NJN393349 MZR393311:MZR393349 MPV393311:MPV393349 MFZ393311:MFZ393349 LWD393311:LWD393349 LMH393311:LMH393349 LCL393311:LCL393349 KSP393311:KSP393349 KIT393311:KIT393349 JYX393311:JYX393349 JPB393311:JPB393349 JFF393311:JFF393349 IVJ393311:IVJ393349 ILN393311:ILN393349 IBR393311:IBR393349 HRV393311:HRV393349 HHZ393311:HHZ393349 GYD393311:GYD393349 GOH393311:GOH393349 GEL393311:GEL393349 FUP393311:FUP393349 FKT393311:FKT393349 FAX393311:FAX393349 ERB393311:ERB393349 EHF393311:EHF393349 DXJ393311:DXJ393349 DNN393311:DNN393349 DDR393311:DDR393349 CTV393311:CTV393349 CJZ393311:CJZ393349 CAD393311:CAD393349 BQH393311:BQH393349 BGL393311:BGL393349 AWP393311:AWP393349 AMT393311:AMT393349 ACX393311:ACX393349 TB393311:TB393349 JF393311:JF393349 J393311:J393349 WVR327775:WVR327813 WLV327775:WLV327813 WBZ327775:WBZ327813 VSD327775:VSD327813 VIH327775:VIH327813 UYL327775:UYL327813 UOP327775:UOP327813 UET327775:UET327813 TUX327775:TUX327813 TLB327775:TLB327813 TBF327775:TBF327813 SRJ327775:SRJ327813 SHN327775:SHN327813 RXR327775:RXR327813 RNV327775:RNV327813 RDZ327775:RDZ327813 QUD327775:QUD327813 QKH327775:QKH327813 QAL327775:QAL327813 PQP327775:PQP327813 PGT327775:PGT327813 OWX327775:OWX327813 ONB327775:ONB327813 ODF327775:ODF327813 NTJ327775:NTJ327813 NJN327775:NJN327813 MZR327775:MZR327813 MPV327775:MPV327813 MFZ327775:MFZ327813 LWD327775:LWD327813 LMH327775:LMH327813 LCL327775:LCL327813 KSP327775:KSP327813 KIT327775:KIT327813 JYX327775:JYX327813 JPB327775:JPB327813 JFF327775:JFF327813 IVJ327775:IVJ327813 ILN327775:ILN327813 IBR327775:IBR327813 HRV327775:HRV327813 HHZ327775:HHZ327813 GYD327775:GYD327813 GOH327775:GOH327813 GEL327775:GEL327813 FUP327775:FUP327813 FKT327775:FKT327813 FAX327775:FAX327813 ERB327775:ERB327813 EHF327775:EHF327813 DXJ327775:DXJ327813 DNN327775:DNN327813 DDR327775:DDR327813 CTV327775:CTV327813 CJZ327775:CJZ327813 CAD327775:CAD327813 BQH327775:BQH327813 BGL327775:BGL327813 AWP327775:AWP327813 AMT327775:AMT327813 ACX327775:ACX327813 TB327775:TB327813 JF327775:JF327813 J327775:J327813 WVR262239:WVR262277 WLV262239:WLV262277 WBZ262239:WBZ262277 VSD262239:VSD262277 VIH262239:VIH262277 UYL262239:UYL262277 UOP262239:UOP262277 UET262239:UET262277 TUX262239:TUX262277 TLB262239:TLB262277 TBF262239:TBF262277 SRJ262239:SRJ262277 SHN262239:SHN262277 RXR262239:RXR262277 RNV262239:RNV262277 RDZ262239:RDZ262277 QUD262239:QUD262277 QKH262239:QKH262277 QAL262239:QAL262277 PQP262239:PQP262277 PGT262239:PGT262277 OWX262239:OWX262277 ONB262239:ONB262277 ODF262239:ODF262277 NTJ262239:NTJ262277 NJN262239:NJN262277 MZR262239:MZR262277 MPV262239:MPV262277 MFZ262239:MFZ262277 LWD262239:LWD262277 LMH262239:LMH262277 LCL262239:LCL262277 KSP262239:KSP262277 KIT262239:KIT262277 JYX262239:JYX262277 JPB262239:JPB262277 JFF262239:JFF262277 IVJ262239:IVJ262277 ILN262239:ILN262277 IBR262239:IBR262277 HRV262239:HRV262277 HHZ262239:HHZ262277 GYD262239:GYD262277 GOH262239:GOH262277 GEL262239:GEL262277 FUP262239:FUP262277 FKT262239:FKT262277 FAX262239:FAX262277 ERB262239:ERB262277 EHF262239:EHF262277 DXJ262239:DXJ262277 DNN262239:DNN262277 DDR262239:DDR262277 CTV262239:CTV262277 CJZ262239:CJZ262277 CAD262239:CAD262277 BQH262239:BQH262277 BGL262239:BGL262277 AWP262239:AWP262277 AMT262239:AMT262277 ACX262239:ACX262277 TB262239:TB262277 JF262239:JF262277 J262239:J262277 WVR196703:WVR196741 WLV196703:WLV196741 WBZ196703:WBZ196741 VSD196703:VSD196741 VIH196703:VIH196741 UYL196703:UYL196741 UOP196703:UOP196741 UET196703:UET196741 TUX196703:TUX196741 TLB196703:TLB196741 TBF196703:TBF196741 SRJ196703:SRJ196741 SHN196703:SHN196741 RXR196703:RXR196741 RNV196703:RNV196741 RDZ196703:RDZ196741 QUD196703:QUD196741 QKH196703:QKH196741 QAL196703:QAL196741 PQP196703:PQP196741 PGT196703:PGT196741 OWX196703:OWX196741 ONB196703:ONB196741 ODF196703:ODF196741 NTJ196703:NTJ196741 NJN196703:NJN196741 MZR196703:MZR196741 MPV196703:MPV196741 MFZ196703:MFZ196741 LWD196703:LWD196741 LMH196703:LMH196741 LCL196703:LCL196741 KSP196703:KSP196741 KIT196703:KIT196741 JYX196703:JYX196741 JPB196703:JPB196741 JFF196703:JFF196741 IVJ196703:IVJ196741 ILN196703:ILN196741 IBR196703:IBR196741 HRV196703:HRV196741 HHZ196703:HHZ196741 GYD196703:GYD196741 GOH196703:GOH196741 GEL196703:GEL196741 FUP196703:FUP196741 FKT196703:FKT196741 FAX196703:FAX196741 ERB196703:ERB196741 EHF196703:EHF196741 DXJ196703:DXJ196741 DNN196703:DNN196741 DDR196703:DDR196741 CTV196703:CTV196741 CJZ196703:CJZ196741 CAD196703:CAD196741 BQH196703:BQH196741 BGL196703:BGL196741 AWP196703:AWP196741 AMT196703:AMT196741 ACX196703:ACX196741 TB196703:TB196741 JF196703:JF196741 J196703:J196741 WVR131167:WVR131205 WLV131167:WLV131205 WBZ131167:WBZ131205 VSD131167:VSD131205 VIH131167:VIH131205 UYL131167:UYL131205 UOP131167:UOP131205 UET131167:UET131205 TUX131167:TUX131205 TLB131167:TLB131205 TBF131167:TBF131205 SRJ131167:SRJ131205 SHN131167:SHN131205 RXR131167:RXR131205 RNV131167:RNV131205 RDZ131167:RDZ131205 QUD131167:QUD131205 QKH131167:QKH131205 QAL131167:QAL131205 PQP131167:PQP131205 PGT131167:PGT131205 OWX131167:OWX131205 ONB131167:ONB131205 ODF131167:ODF131205 NTJ131167:NTJ131205 NJN131167:NJN131205 MZR131167:MZR131205 MPV131167:MPV131205 MFZ131167:MFZ131205 LWD131167:LWD131205 LMH131167:LMH131205 LCL131167:LCL131205 KSP131167:KSP131205 KIT131167:KIT131205 JYX131167:JYX131205 JPB131167:JPB131205 JFF131167:JFF131205 IVJ131167:IVJ131205 ILN131167:ILN131205 IBR131167:IBR131205 HRV131167:HRV131205 HHZ131167:HHZ131205 GYD131167:GYD131205 GOH131167:GOH131205 GEL131167:GEL131205 FUP131167:FUP131205 FKT131167:FKT131205 FAX131167:FAX131205 ERB131167:ERB131205 EHF131167:EHF131205 DXJ131167:DXJ131205 DNN131167:DNN131205 DDR131167:DDR131205 CTV131167:CTV131205 CJZ131167:CJZ131205 CAD131167:CAD131205 BQH131167:BQH131205 BGL131167:BGL131205 AWP131167:AWP131205 AMT131167:AMT131205 ACX131167:ACX131205 TB131167:TB131205 JF131167:JF131205 J131167:J131205 WVR65631:WVR65669 WLV65631:WLV65669 WBZ65631:WBZ65669 VSD65631:VSD65669 VIH65631:VIH65669 UYL65631:UYL65669 UOP65631:UOP65669 UET65631:UET65669 TUX65631:TUX65669 TLB65631:TLB65669 TBF65631:TBF65669 SRJ65631:SRJ65669 SHN65631:SHN65669 RXR65631:RXR65669 RNV65631:RNV65669 RDZ65631:RDZ65669 QUD65631:QUD65669 QKH65631:QKH65669 QAL65631:QAL65669 PQP65631:PQP65669 PGT65631:PGT65669 OWX65631:OWX65669 ONB65631:ONB65669 ODF65631:ODF65669 NTJ65631:NTJ65669 NJN65631:NJN65669 MZR65631:MZR65669 MPV65631:MPV65669 MFZ65631:MFZ65669 LWD65631:LWD65669 LMH65631:LMH65669 LCL65631:LCL65669 KSP65631:KSP65669 KIT65631:KIT65669 JYX65631:JYX65669 JPB65631:JPB65669 JFF65631:JFF65669 IVJ65631:IVJ65669 ILN65631:ILN65669 IBR65631:IBR65669 HRV65631:HRV65669 HHZ65631:HHZ65669 GYD65631:GYD65669 GOH65631:GOH65669 GEL65631:GEL65669 FUP65631:FUP65669 FKT65631:FKT65669 FAX65631:FAX65669 ERB65631:ERB65669 EHF65631:EHF65669 DXJ65631:DXJ65669 DNN65631:DNN65669 DDR65631:DDR65669 CTV65631:CTV65669 CJZ65631:CJZ65669 CAD65631:CAD65669 BQH65631:BQH65669 BGL65631:BGL65669 AWP65631:AWP65669 AMT65631:AMT65669 ACX65631:ACX65669 TB65631:TB65669 JF65631:JF65669 J65631:J65669 WVR83:WVR121 WLV83:WLV121 WBZ83:WBZ121 VSD83:VSD121 VIH83:VIH121 UYL83:UYL121 UOP83:UOP121 UET83:UET121 TUX83:TUX121 TLB83:TLB121 TBF83:TBF121 SRJ83:SRJ121 SHN83:SHN121 RXR83:RXR121 RNV83:RNV121 RDZ83:RDZ121 QUD83:QUD121 QKH83:QKH121 QAL83:QAL121 PQP83:PQP121 PGT83:PGT121 OWX83:OWX121 ONB83:ONB121 ODF83:ODF121 NTJ83:NTJ121 NJN83:NJN121 MZR83:MZR121 MPV83:MPV121 MFZ83:MFZ121 LWD83:LWD121 LMH83:LMH121 LCL83:LCL121 KSP83:KSP121 KIT83:KIT121 JYX83:JYX121 JPB83:JPB121 JFF83:JFF121 IVJ83:IVJ121 ILN83:ILN121 IBR83:IBR121 HRV83:HRV121 HHZ83:HHZ121 GYD83:GYD121 GOH83:GOH121 GEL83:GEL121 FUP83:FUP121 FKT83:FKT121 FAX83:FAX121 ERB83:ERB121 EHF83:EHF121 DXJ83:DXJ121 DNN83:DNN121 DDR83:DDR121 CTV83:CTV121 CJZ83:CJZ121 CAD83:CAD121 BQH83:BQH121 BGL83:BGL121 AWP83:AWP121 AMT83:AMT121 ACX83:ACX121 TB83:TB121 JF83:JF121">
      <formula1>$A$194:$A$198</formula1>
    </dataValidation>
    <dataValidation type="list" allowBlank="1" showInputMessage="1" showErrorMessage="1" sqref="K24:K78 WVS983135:WVS983173 WLW983135:WLW983173 WCA983135:WCA983173 VSE983135:VSE983173 VII983135:VII983173 UYM983135:UYM983173 UOQ983135:UOQ983173 UEU983135:UEU983173 TUY983135:TUY983173 TLC983135:TLC983173 TBG983135:TBG983173 SRK983135:SRK983173 SHO983135:SHO983173 RXS983135:RXS983173 RNW983135:RNW983173 REA983135:REA983173 QUE983135:QUE983173 QKI983135:QKI983173 QAM983135:QAM983173 PQQ983135:PQQ983173 PGU983135:PGU983173 OWY983135:OWY983173 ONC983135:ONC983173 ODG983135:ODG983173 NTK983135:NTK983173 NJO983135:NJO983173 MZS983135:MZS983173 MPW983135:MPW983173 MGA983135:MGA983173 LWE983135:LWE983173 LMI983135:LMI983173 LCM983135:LCM983173 KSQ983135:KSQ983173 KIU983135:KIU983173 JYY983135:JYY983173 JPC983135:JPC983173 JFG983135:JFG983173 IVK983135:IVK983173 ILO983135:ILO983173 IBS983135:IBS983173 HRW983135:HRW983173 HIA983135:HIA983173 GYE983135:GYE983173 GOI983135:GOI983173 GEM983135:GEM983173 FUQ983135:FUQ983173 FKU983135:FKU983173 FAY983135:FAY983173 ERC983135:ERC983173 EHG983135:EHG983173 DXK983135:DXK983173 DNO983135:DNO983173 DDS983135:DDS983173 CTW983135:CTW983173 CKA983135:CKA983173 CAE983135:CAE983173 BQI983135:BQI983173 BGM983135:BGM983173 AWQ983135:AWQ983173 AMU983135:AMU983173 ACY983135:ACY983173 TC983135:TC983173 JG983135:JG983173 K983135:K983173 WVS917599:WVS917637 WLW917599:WLW917637 WCA917599:WCA917637 VSE917599:VSE917637 VII917599:VII917637 UYM917599:UYM917637 UOQ917599:UOQ917637 UEU917599:UEU917637 TUY917599:TUY917637 TLC917599:TLC917637 TBG917599:TBG917637 SRK917599:SRK917637 SHO917599:SHO917637 RXS917599:RXS917637 RNW917599:RNW917637 REA917599:REA917637 QUE917599:QUE917637 QKI917599:QKI917637 QAM917599:QAM917637 PQQ917599:PQQ917637 PGU917599:PGU917637 OWY917599:OWY917637 ONC917599:ONC917637 ODG917599:ODG917637 NTK917599:NTK917637 NJO917599:NJO917637 MZS917599:MZS917637 MPW917599:MPW917637 MGA917599:MGA917637 LWE917599:LWE917637 LMI917599:LMI917637 LCM917599:LCM917637 KSQ917599:KSQ917637 KIU917599:KIU917637 JYY917599:JYY917637 JPC917599:JPC917637 JFG917599:JFG917637 IVK917599:IVK917637 ILO917599:ILO917637 IBS917599:IBS917637 HRW917599:HRW917637 HIA917599:HIA917637 GYE917599:GYE917637 GOI917599:GOI917637 GEM917599:GEM917637 FUQ917599:FUQ917637 FKU917599:FKU917637 FAY917599:FAY917637 ERC917599:ERC917637 EHG917599:EHG917637 DXK917599:DXK917637 DNO917599:DNO917637 DDS917599:DDS917637 CTW917599:CTW917637 CKA917599:CKA917637 CAE917599:CAE917637 BQI917599:BQI917637 BGM917599:BGM917637 AWQ917599:AWQ917637 AMU917599:AMU917637 ACY917599:ACY917637 TC917599:TC917637 JG917599:JG917637 K917599:K917637 WVS852063:WVS852101 WLW852063:WLW852101 WCA852063:WCA852101 VSE852063:VSE852101 VII852063:VII852101 UYM852063:UYM852101 UOQ852063:UOQ852101 UEU852063:UEU852101 TUY852063:TUY852101 TLC852063:TLC852101 TBG852063:TBG852101 SRK852063:SRK852101 SHO852063:SHO852101 RXS852063:RXS852101 RNW852063:RNW852101 REA852063:REA852101 QUE852063:QUE852101 QKI852063:QKI852101 QAM852063:QAM852101 PQQ852063:PQQ852101 PGU852063:PGU852101 OWY852063:OWY852101 ONC852063:ONC852101 ODG852063:ODG852101 NTK852063:NTK852101 NJO852063:NJO852101 MZS852063:MZS852101 MPW852063:MPW852101 MGA852063:MGA852101 LWE852063:LWE852101 LMI852063:LMI852101 LCM852063:LCM852101 KSQ852063:KSQ852101 KIU852063:KIU852101 JYY852063:JYY852101 JPC852063:JPC852101 JFG852063:JFG852101 IVK852063:IVK852101 ILO852063:ILO852101 IBS852063:IBS852101 HRW852063:HRW852101 HIA852063:HIA852101 GYE852063:GYE852101 GOI852063:GOI852101 GEM852063:GEM852101 FUQ852063:FUQ852101 FKU852063:FKU852101 FAY852063:FAY852101 ERC852063:ERC852101 EHG852063:EHG852101 DXK852063:DXK852101 DNO852063:DNO852101 DDS852063:DDS852101 CTW852063:CTW852101 CKA852063:CKA852101 CAE852063:CAE852101 BQI852063:BQI852101 BGM852063:BGM852101 AWQ852063:AWQ852101 AMU852063:AMU852101 ACY852063:ACY852101 TC852063:TC852101 JG852063:JG852101 K852063:K852101 WVS786527:WVS786565 WLW786527:WLW786565 WCA786527:WCA786565 VSE786527:VSE786565 VII786527:VII786565 UYM786527:UYM786565 UOQ786527:UOQ786565 UEU786527:UEU786565 TUY786527:TUY786565 TLC786527:TLC786565 TBG786527:TBG786565 SRK786527:SRK786565 SHO786527:SHO786565 RXS786527:RXS786565 RNW786527:RNW786565 REA786527:REA786565 QUE786527:QUE786565 QKI786527:QKI786565 QAM786527:QAM786565 PQQ786527:PQQ786565 PGU786527:PGU786565 OWY786527:OWY786565 ONC786527:ONC786565 ODG786527:ODG786565 NTK786527:NTK786565 NJO786527:NJO786565 MZS786527:MZS786565 MPW786527:MPW786565 MGA786527:MGA786565 LWE786527:LWE786565 LMI786527:LMI786565 LCM786527:LCM786565 KSQ786527:KSQ786565 KIU786527:KIU786565 JYY786527:JYY786565 JPC786527:JPC786565 JFG786527:JFG786565 IVK786527:IVK786565 ILO786527:ILO786565 IBS786527:IBS786565 HRW786527:HRW786565 HIA786527:HIA786565 GYE786527:GYE786565 GOI786527:GOI786565 GEM786527:GEM786565 FUQ786527:FUQ786565 FKU786527:FKU786565 FAY786527:FAY786565 ERC786527:ERC786565 EHG786527:EHG786565 DXK786527:DXK786565 DNO786527:DNO786565 DDS786527:DDS786565 CTW786527:CTW786565 CKA786527:CKA786565 CAE786527:CAE786565 BQI786527:BQI786565 BGM786527:BGM786565 AWQ786527:AWQ786565 AMU786527:AMU786565 ACY786527:ACY786565 TC786527:TC786565 JG786527:JG786565 K786527:K786565 WVS720991:WVS721029 WLW720991:WLW721029 WCA720991:WCA721029 VSE720991:VSE721029 VII720991:VII721029 UYM720991:UYM721029 UOQ720991:UOQ721029 UEU720991:UEU721029 TUY720991:TUY721029 TLC720991:TLC721029 TBG720991:TBG721029 SRK720991:SRK721029 SHO720991:SHO721029 RXS720991:RXS721029 RNW720991:RNW721029 REA720991:REA721029 QUE720991:QUE721029 QKI720991:QKI721029 QAM720991:QAM721029 PQQ720991:PQQ721029 PGU720991:PGU721029 OWY720991:OWY721029 ONC720991:ONC721029 ODG720991:ODG721029 NTK720991:NTK721029 NJO720991:NJO721029 MZS720991:MZS721029 MPW720991:MPW721029 MGA720991:MGA721029 LWE720991:LWE721029 LMI720991:LMI721029 LCM720991:LCM721029 KSQ720991:KSQ721029 KIU720991:KIU721029 JYY720991:JYY721029 JPC720991:JPC721029 JFG720991:JFG721029 IVK720991:IVK721029 ILO720991:ILO721029 IBS720991:IBS721029 HRW720991:HRW721029 HIA720991:HIA721029 GYE720991:GYE721029 GOI720991:GOI721029 GEM720991:GEM721029 FUQ720991:FUQ721029 FKU720991:FKU721029 FAY720991:FAY721029 ERC720991:ERC721029 EHG720991:EHG721029 DXK720991:DXK721029 DNO720991:DNO721029 DDS720991:DDS721029 CTW720991:CTW721029 CKA720991:CKA721029 CAE720991:CAE721029 BQI720991:BQI721029 BGM720991:BGM721029 AWQ720991:AWQ721029 AMU720991:AMU721029 ACY720991:ACY721029 TC720991:TC721029 JG720991:JG721029 K720991:K721029 WVS655455:WVS655493 WLW655455:WLW655493 WCA655455:WCA655493 VSE655455:VSE655493 VII655455:VII655493 UYM655455:UYM655493 UOQ655455:UOQ655493 UEU655455:UEU655493 TUY655455:TUY655493 TLC655455:TLC655493 TBG655455:TBG655493 SRK655455:SRK655493 SHO655455:SHO655493 RXS655455:RXS655493 RNW655455:RNW655493 REA655455:REA655493 QUE655455:QUE655493 QKI655455:QKI655493 QAM655455:QAM655493 PQQ655455:PQQ655493 PGU655455:PGU655493 OWY655455:OWY655493 ONC655455:ONC655493 ODG655455:ODG655493 NTK655455:NTK655493 NJO655455:NJO655493 MZS655455:MZS655493 MPW655455:MPW655493 MGA655455:MGA655493 LWE655455:LWE655493 LMI655455:LMI655493 LCM655455:LCM655493 KSQ655455:KSQ655493 KIU655455:KIU655493 JYY655455:JYY655493 JPC655455:JPC655493 JFG655455:JFG655493 IVK655455:IVK655493 ILO655455:ILO655493 IBS655455:IBS655493 HRW655455:HRW655493 HIA655455:HIA655493 GYE655455:GYE655493 GOI655455:GOI655493 GEM655455:GEM655493 FUQ655455:FUQ655493 FKU655455:FKU655493 FAY655455:FAY655493 ERC655455:ERC655493 EHG655455:EHG655493 DXK655455:DXK655493 DNO655455:DNO655493 DDS655455:DDS655493 CTW655455:CTW655493 CKA655455:CKA655493 CAE655455:CAE655493 BQI655455:BQI655493 BGM655455:BGM655493 AWQ655455:AWQ655493 AMU655455:AMU655493 ACY655455:ACY655493 TC655455:TC655493 JG655455:JG655493 K655455:K655493 WVS589919:WVS589957 WLW589919:WLW589957 WCA589919:WCA589957 VSE589919:VSE589957 VII589919:VII589957 UYM589919:UYM589957 UOQ589919:UOQ589957 UEU589919:UEU589957 TUY589919:TUY589957 TLC589919:TLC589957 TBG589919:TBG589957 SRK589919:SRK589957 SHO589919:SHO589957 RXS589919:RXS589957 RNW589919:RNW589957 REA589919:REA589957 QUE589919:QUE589957 QKI589919:QKI589957 QAM589919:QAM589957 PQQ589919:PQQ589957 PGU589919:PGU589957 OWY589919:OWY589957 ONC589919:ONC589957 ODG589919:ODG589957 NTK589919:NTK589957 NJO589919:NJO589957 MZS589919:MZS589957 MPW589919:MPW589957 MGA589919:MGA589957 LWE589919:LWE589957 LMI589919:LMI589957 LCM589919:LCM589957 KSQ589919:KSQ589957 KIU589919:KIU589957 JYY589919:JYY589957 JPC589919:JPC589957 JFG589919:JFG589957 IVK589919:IVK589957 ILO589919:ILO589957 IBS589919:IBS589957 HRW589919:HRW589957 HIA589919:HIA589957 GYE589919:GYE589957 GOI589919:GOI589957 GEM589919:GEM589957 FUQ589919:FUQ589957 FKU589919:FKU589957 FAY589919:FAY589957 ERC589919:ERC589957 EHG589919:EHG589957 DXK589919:DXK589957 DNO589919:DNO589957 DDS589919:DDS589957 CTW589919:CTW589957 CKA589919:CKA589957 CAE589919:CAE589957 BQI589919:BQI589957 BGM589919:BGM589957 AWQ589919:AWQ589957 AMU589919:AMU589957 ACY589919:ACY589957 TC589919:TC589957 JG589919:JG589957 K589919:K589957 WVS524383:WVS524421 WLW524383:WLW524421 WCA524383:WCA524421 VSE524383:VSE524421 VII524383:VII524421 UYM524383:UYM524421 UOQ524383:UOQ524421 UEU524383:UEU524421 TUY524383:TUY524421 TLC524383:TLC524421 TBG524383:TBG524421 SRK524383:SRK524421 SHO524383:SHO524421 RXS524383:RXS524421 RNW524383:RNW524421 REA524383:REA524421 QUE524383:QUE524421 QKI524383:QKI524421 QAM524383:QAM524421 PQQ524383:PQQ524421 PGU524383:PGU524421 OWY524383:OWY524421 ONC524383:ONC524421 ODG524383:ODG524421 NTK524383:NTK524421 NJO524383:NJO524421 MZS524383:MZS524421 MPW524383:MPW524421 MGA524383:MGA524421 LWE524383:LWE524421 LMI524383:LMI524421 LCM524383:LCM524421 KSQ524383:KSQ524421 KIU524383:KIU524421 JYY524383:JYY524421 JPC524383:JPC524421 JFG524383:JFG524421 IVK524383:IVK524421 ILO524383:ILO524421 IBS524383:IBS524421 HRW524383:HRW524421 HIA524383:HIA524421 GYE524383:GYE524421 GOI524383:GOI524421 GEM524383:GEM524421 FUQ524383:FUQ524421 FKU524383:FKU524421 FAY524383:FAY524421 ERC524383:ERC524421 EHG524383:EHG524421 DXK524383:DXK524421 DNO524383:DNO524421 DDS524383:DDS524421 CTW524383:CTW524421 CKA524383:CKA524421 CAE524383:CAE524421 BQI524383:BQI524421 BGM524383:BGM524421 AWQ524383:AWQ524421 AMU524383:AMU524421 ACY524383:ACY524421 TC524383:TC524421 JG524383:JG524421 K524383:K524421 WVS458847:WVS458885 WLW458847:WLW458885 WCA458847:WCA458885 VSE458847:VSE458885 VII458847:VII458885 UYM458847:UYM458885 UOQ458847:UOQ458885 UEU458847:UEU458885 TUY458847:TUY458885 TLC458847:TLC458885 TBG458847:TBG458885 SRK458847:SRK458885 SHO458847:SHO458885 RXS458847:RXS458885 RNW458847:RNW458885 REA458847:REA458885 QUE458847:QUE458885 QKI458847:QKI458885 QAM458847:QAM458885 PQQ458847:PQQ458885 PGU458847:PGU458885 OWY458847:OWY458885 ONC458847:ONC458885 ODG458847:ODG458885 NTK458847:NTK458885 NJO458847:NJO458885 MZS458847:MZS458885 MPW458847:MPW458885 MGA458847:MGA458885 LWE458847:LWE458885 LMI458847:LMI458885 LCM458847:LCM458885 KSQ458847:KSQ458885 KIU458847:KIU458885 JYY458847:JYY458885 JPC458847:JPC458885 JFG458847:JFG458885 IVK458847:IVK458885 ILO458847:ILO458885 IBS458847:IBS458885 HRW458847:HRW458885 HIA458847:HIA458885 GYE458847:GYE458885 GOI458847:GOI458885 GEM458847:GEM458885 FUQ458847:FUQ458885 FKU458847:FKU458885 FAY458847:FAY458885 ERC458847:ERC458885 EHG458847:EHG458885 DXK458847:DXK458885 DNO458847:DNO458885 DDS458847:DDS458885 CTW458847:CTW458885 CKA458847:CKA458885 CAE458847:CAE458885 BQI458847:BQI458885 BGM458847:BGM458885 AWQ458847:AWQ458885 AMU458847:AMU458885 ACY458847:ACY458885 TC458847:TC458885 JG458847:JG458885 K458847:K458885 WVS393311:WVS393349 WLW393311:WLW393349 WCA393311:WCA393349 VSE393311:VSE393349 VII393311:VII393349 UYM393311:UYM393349 UOQ393311:UOQ393349 UEU393311:UEU393349 TUY393311:TUY393349 TLC393311:TLC393349 TBG393311:TBG393349 SRK393311:SRK393349 SHO393311:SHO393349 RXS393311:RXS393349 RNW393311:RNW393349 REA393311:REA393349 QUE393311:QUE393349 QKI393311:QKI393349 QAM393311:QAM393349 PQQ393311:PQQ393349 PGU393311:PGU393349 OWY393311:OWY393349 ONC393311:ONC393349 ODG393311:ODG393349 NTK393311:NTK393349 NJO393311:NJO393349 MZS393311:MZS393349 MPW393311:MPW393349 MGA393311:MGA393349 LWE393311:LWE393349 LMI393311:LMI393349 LCM393311:LCM393349 KSQ393311:KSQ393349 KIU393311:KIU393349 JYY393311:JYY393349 JPC393311:JPC393349 JFG393311:JFG393349 IVK393311:IVK393349 ILO393311:ILO393349 IBS393311:IBS393349 HRW393311:HRW393349 HIA393311:HIA393349 GYE393311:GYE393349 GOI393311:GOI393349 GEM393311:GEM393349 FUQ393311:FUQ393349 FKU393311:FKU393349 FAY393311:FAY393349 ERC393311:ERC393349 EHG393311:EHG393349 DXK393311:DXK393349 DNO393311:DNO393349 DDS393311:DDS393349 CTW393311:CTW393349 CKA393311:CKA393349 CAE393311:CAE393349 BQI393311:BQI393349 BGM393311:BGM393349 AWQ393311:AWQ393349 AMU393311:AMU393349 ACY393311:ACY393349 TC393311:TC393349 JG393311:JG393349 K393311:K393349 WVS327775:WVS327813 WLW327775:WLW327813 WCA327775:WCA327813 VSE327775:VSE327813 VII327775:VII327813 UYM327775:UYM327813 UOQ327775:UOQ327813 UEU327775:UEU327813 TUY327775:TUY327813 TLC327775:TLC327813 TBG327775:TBG327813 SRK327775:SRK327813 SHO327775:SHO327813 RXS327775:RXS327813 RNW327775:RNW327813 REA327775:REA327813 QUE327775:QUE327813 QKI327775:QKI327813 QAM327775:QAM327813 PQQ327775:PQQ327813 PGU327775:PGU327813 OWY327775:OWY327813 ONC327775:ONC327813 ODG327775:ODG327813 NTK327775:NTK327813 NJO327775:NJO327813 MZS327775:MZS327813 MPW327775:MPW327813 MGA327775:MGA327813 LWE327775:LWE327813 LMI327775:LMI327813 LCM327775:LCM327813 KSQ327775:KSQ327813 KIU327775:KIU327813 JYY327775:JYY327813 JPC327775:JPC327813 JFG327775:JFG327813 IVK327775:IVK327813 ILO327775:ILO327813 IBS327775:IBS327813 HRW327775:HRW327813 HIA327775:HIA327813 GYE327775:GYE327813 GOI327775:GOI327813 GEM327775:GEM327813 FUQ327775:FUQ327813 FKU327775:FKU327813 FAY327775:FAY327813 ERC327775:ERC327813 EHG327775:EHG327813 DXK327775:DXK327813 DNO327775:DNO327813 DDS327775:DDS327813 CTW327775:CTW327813 CKA327775:CKA327813 CAE327775:CAE327813 BQI327775:BQI327813 BGM327775:BGM327813 AWQ327775:AWQ327813 AMU327775:AMU327813 ACY327775:ACY327813 TC327775:TC327813 JG327775:JG327813 K327775:K327813 WVS262239:WVS262277 WLW262239:WLW262277 WCA262239:WCA262277 VSE262239:VSE262277 VII262239:VII262277 UYM262239:UYM262277 UOQ262239:UOQ262277 UEU262239:UEU262277 TUY262239:TUY262277 TLC262239:TLC262277 TBG262239:TBG262277 SRK262239:SRK262277 SHO262239:SHO262277 RXS262239:RXS262277 RNW262239:RNW262277 REA262239:REA262277 QUE262239:QUE262277 QKI262239:QKI262277 QAM262239:QAM262277 PQQ262239:PQQ262277 PGU262239:PGU262277 OWY262239:OWY262277 ONC262239:ONC262277 ODG262239:ODG262277 NTK262239:NTK262277 NJO262239:NJO262277 MZS262239:MZS262277 MPW262239:MPW262277 MGA262239:MGA262277 LWE262239:LWE262277 LMI262239:LMI262277 LCM262239:LCM262277 KSQ262239:KSQ262277 KIU262239:KIU262277 JYY262239:JYY262277 JPC262239:JPC262277 JFG262239:JFG262277 IVK262239:IVK262277 ILO262239:ILO262277 IBS262239:IBS262277 HRW262239:HRW262277 HIA262239:HIA262277 GYE262239:GYE262277 GOI262239:GOI262277 GEM262239:GEM262277 FUQ262239:FUQ262277 FKU262239:FKU262277 FAY262239:FAY262277 ERC262239:ERC262277 EHG262239:EHG262277 DXK262239:DXK262277 DNO262239:DNO262277 DDS262239:DDS262277 CTW262239:CTW262277 CKA262239:CKA262277 CAE262239:CAE262277 BQI262239:BQI262277 BGM262239:BGM262277 AWQ262239:AWQ262277 AMU262239:AMU262277 ACY262239:ACY262277 TC262239:TC262277 JG262239:JG262277 K262239:K262277 WVS196703:WVS196741 WLW196703:WLW196741 WCA196703:WCA196741 VSE196703:VSE196741 VII196703:VII196741 UYM196703:UYM196741 UOQ196703:UOQ196741 UEU196703:UEU196741 TUY196703:TUY196741 TLC196703:TLC196741 TBG196703:TBG196741 SRK196703:SRK196741 SHO196703:SHO196741 RXS196703:RXS196741 RNW196703:RNW196741 REA196703:REA196741 QUE196703:QUE196741 QKI196703:QKI196741 QAM196703:QAM196741 PQQ196703:PQQ196741 PGU196703:PGU196741 OWY196703:OWY196741 ONC196703:ONC196741 ODG196703:ODG196741 NTK196703:NTK196741 NJO196703:NJO196741 MZS196703:MZS196741 MPW196703:MPW196741 MGA196703:MGA196741 LWE196703:LWE196741 LMI196703:LMI196741 LCM196703:LCM196741 KSQ196703:KSQ196741 KIU196703:KIU196741 JYY196703:JYY196741 JPC196703:JPC196741 JFG196703:JFG196741 IVK196703:IVK196741 ILO196703:ILO196741 IBS196703:IBS196741 HRW196703:HRW196741 HIA196703:HIA196741 GYE196703:GYE196741 GOI196703:GOI196741 GEM196703:GEM196741 FUQ196703:FUQ196741 FKU196703:FKU196741 FAY196703:FAY196741 ERC196703:ERC196741 EHG196703:EHG196741 DXK196703:DXK196741 DNO196703:DNO196741 DDS196703:DDS196741 CTW196703:CTW196741 CKA196703:CKA196741 CAE196703:CAE196741 BQI196703:BQI196741 BGM196703:BGM196741 AWQ196703:AWQ196741 AMU196703:AMU196741 ACY196703:ACY196741 TC196703:TC196741 JG196703:JG196741 K196703:K196741 WVS131167:WVS131205 WLW131167:WLW131205 WCA131167:WCA131205 VSE131167:VSE131205 VII131167:VII131205 UYM131167:UYM131205 UOQ131167:UOQ131205 UEU131167:UEU131205 TUY131167:TUY131205 TLC131167:TLC131205 TBG131167:TBG131205 SRK131167:SRK131205 SHO131167:SHO131205 RXS131167:RXS131205 RNW131167:RNW131205 REA131167:REA131205 QUE131167:QUE131205 QKI131167:QKI131205 QAM131167:QAM131205 PQQ131167:PQQ131205 PGU131167:PGU131205 OWY131167:OWY131205 ONC131167:ONC131205 ODG131167:ODG131205 NTK131167:NTK131205 NJO131167:NJO131205 MZS131167:MZS131205 MPW131167:MPW131205 MGA131167:MGA131205 LWE131167:LWE131205 LMI131167:LMI131205 LCM131167:LCM131205 KSQ131167:KSQ131205 KIU131167:KIU131205 JYY131167:JYY131205 JPC131167:JPC131205 JFG131167:JFG131205 IVK131167:IVK131205 ILO131167:ILO131205 IBS131167:IBS131205 HRW131167:HRW131205 HIA131167:HIA131205 GYE131167:GYE131205 GOI131167:GOI131205 GEM131167:GEM131205 FUQ131167:FUQ131205 FKU131167:FKU131205 FAY131167:FAY131205 ERC131167:ERC131205 EHG131167:EHG131205 DXK131167:DXK131205 DNO131167:DNO131205 DDS131167:DDS131205 CTW131167:CTW131205 CKA131167:CKA131205 CAE131167:CAE131205 BQI131167:BQI131205 BGM131167:BGM131205 AWQ131167:AWQ131205 AMU131167:AMU131205 ACY131167:ACY131205 TC131167:TC131205 JG131167:JG131205 K131167:K131205 WVS65631:WVS65669 WLW65631:WLW65669 WCA65631:WCA65669 VSE65631:VSE65669 VII65631:VII65669 UYM65631:UYM65669 UOQ65631:UOQ65669 UEU65631:UEU65669 TUY65631:TUY65669 TLC65631:TLC65669 TBG65631:TBG65669 SRK65631:SRK65669 SHO65631:SHO65669 RXS65631:RXS65669 RNW65631:RNW65669 REA65631:REA65669 QUE65631:QUE65669 QKI65631:QKI65669 QAM65631:QAM65669 PQQ65631:PQQ65669 PGU65631:PGU65669 OWY65631:OWY65669 ONC65631:ONC65669 ODG65631:ODG65669 NTK65631:NTK65669 NJO65631:NJO65669 MZS65631:MZS65669 MPW65631:MPW65669 MGA65631:MGA65669 LWE65631:LWE65669 LMI65631:LMI65669 LCM65631:LCM65669 KSQ65631:KSQ65669 KIU65631:KIU65669 JYY65631:JYY65669 JPC65631:JPC65669 JFG65631:JFG65669 IVK65631:IVK65669 ILO65631:ILO65669 IBS65631:IBS65669 HRW65631:HRW65669 HIA65631:HIA65669 GYE65631:GYE65669 GOI65631:GOI65669 GEM65631:GEM65669 FUQ65631:FUQ65669 FKU65631:FKU65669 FAY65631:FAY65669 ERC65631:ERC65669 EHG65631:EHG65669 DXK65631:DXK65669 DNO65631:DNO65669 DDS65631:DDS65669 CTW65631:CTW65669 CKA65631:CKA65669 CAE65631:CAE65669 BQI65631:BQI65669 BGM65631:BGM65669 AWQ65631:AWQ65669 AMU65631:AMU65669 ACY65631:ACY65669 TC65631:TC65669 JG65631:JG65669 K65631:K65669 WVS83:WVS121 WLW83:WLW121 WCA83:WCA121 VSE83:VSE121 VII83:VII121 UYM83:UYM121 UOQ83:UOQ121 UEU83:UEU121 TUY83:TUY121 TLC83:TLC121 TBG83:TBG121 SRK83:SRK121 SHO83:SHO121 RXS83:RXS121 RNW83:RNW121 REA83:REA121 QUE83:QUE121 QKI83:QKI121 QAM83:QAM121 PQQ83:PQQ121 PGU83:PGU121 OWY83:OWY121 ONC83:ONC121 ODG83:ODG121 NTK83:NTK121 NJO83:NJO121 MZS83:MZS121 MPW83:MPW121 MGA83:MGA121 LWE83:LWE121 LMI83:LMI121 LCM83:LCM121 KSQ83:KSQ121 KIU83:KIU121 JYY83:JYY121 JPC83:JPC121 JFG83:JFG121 IVK83:IVK121 ILO83:ILO121 IBS83:IBS121 HRW83:HRW121 HIA83:HIA121 GYE83:GYE121 GOI83:GOI121 GEM83:GEM121 FUQ83:FUQ121 FKU83:FKU121 FAY83:FAY121 ERC83:ERC121 EHG83:EHG121 DXK83:DXK121 DNO83:DNO121 DDS83:DDS121 CTW83:CTW121 CKA83:CKA121 CAE83:CAE121 BQI83:BQI121 BGM83:BGM121 AWQ83:AWQ121 AMU83:AMU121 ACY83:ACY121 TC83:TC121 JG83:JG121 K83:K121 WVS983077:WVS983130 WLW983077:WLW983130 WCA983077:WCA983130 VSE983077:VSE983130 VII983077:VII983130 UYM983077:UYM983130 UOQ983077:UOQ983130 UEU983077:UEU983130 TUY983077:TUY983130 TLC983077:TLC983130 TBG983077:TBG983130 SRK983077:SRK983130 SHO983077:SHO983130 RXS983077:RXS983130 RNW983077:RNW983130 REA983077:REA983130 QUE983077:QUE983130 QKI983077:QKI983130 QAM983077:QAM983130 PQQ983077:PQQ983130 PGU983077:PGU983130 OWY983077:OWY983130 ONC983077:ONC983130 ODG983077:ODG983130 NTK983077:NTK983130 NJO983077:NJO983130 MZS983077:MZS983130 MPW983077:MPW983130 MGA983077:MGA983130 LWE983077:LWE983130 LMI983077:LMI983130 LCM983077:LCM983130 KSQ983077:KSQ983130 KIU983077:KIU983130 JYY983077:JYY983130 JPC983077:JPC983130 JFG983077:JFG983130 IVK983077:IVK983130 ILO983077:ILO983130 IBS983077:IBS983130 HRW983077:HRW983130 HIA983077:HIA983130 GYE983077:GYE983130 GOI983077:GOI983130 GEM983077:GEM983130 FUQ983077:FUQ983130 FKU983077:FKU983130 FAY983077:FAY983130 ERC983077:ERC983130 EHG983077:EHG983130 DXK983077:DXK983130 DNO983077:DNO983130 DDS983077:DDS983130 CTW983077:CTW983130 CKA983077:CKA983130 CAE983077:CAE983130 BQI983077:BQI983130 BGM983077:BGM983130 AWQ983077:AWQ983130 AMU983077:AMU983130 ACY983077:ACY983130 TC983077:TC983130 JG983077:JG983130 K983077:K983130 WVS917541:WVS917594 WLW917541:WLW917594 WCA917541:WCA917594 VSE917541:VSE917594 VII917541:VII917594 UYM917541:UYM917594 UOQ917541:UOQ917594 UEU917541:UEU917594 TUY917541:TUY917594 TLC917541:TLC917594 TBG917541:TBG917594 SRK917541:SRK917594 SHO917541:SHO917594 RXS917541:RXS917594 RNW917541:RNW917594 REA917541:REA917594 QUE917541:QUE917594 QKI917541:QKI917594 QAM917541:QAM917594 PQQ917541:PQQ917594 PGU917541:PGU917594 OWY917541:OWY917594 ONC917541:ONC917594 ODG917541:ODG917594 NTK917541:NTK917594 NJO917541:NJO917594 MZS917541:MZS917594 MPW917541:MPW917594 MGA917541:MGA917594 LWE917541:LWE917594 LMI917541:LMI917594 LCM917541:LCM917594 KSQ917541:KSQ917594 KIU917541:KIU917594 JYY917541:JYY917594 JPC917541:JPC917594 JFG917541:JFG917594 IVK917541:IVK917594 ILO917541:ILO917594 IBS917541:IBS917594 HRW917541:HRW917594 HIA917541:HIA917594 GYE917541:GYE917594 GOI917541:GOI917594 GEM917541:GEM917594 FUQ917541:FUQ917594 FKU917541:FKU917594 FAY917541:FAY917594 ERC917541:ERC917594 EHG917541:EHG917594 DXK917541:DXK917594 DNO917541:DNO917594 DDS917541:DDS917594 CTW917541:CTW917594 CKA917541:CKA917594 CAE917541:CAE917594 BQI917541:BQI917594 BGM917541:BGM917594 AWQ917541:AWQ917594 AMU917541:AMU917594 ACY917541:ACY917594 TC917541:TC917594 JG917541:JG917594 K917541:K917594 WVS852005:WVS852058 WLW852005:WLW852058 WCA852005:WCA852058 VSE852005:VSE852058 VII852005:VII852058 UYM852005:UYM852058 UOQ852005:UOQ852058 UEU852005:UEU852058 TUY852005:TUY852058 TLC852005:TLC852058 TBG852005:TBG852058 SRK852005:SRK852058 SHO852005:SHO852058 RXS852005:RXS852058 RNW852005:RNW852058 REA852005:REA852058 QUE852005:QUE852058 QKI852005:QKI852058 QAM852005:QAM852058 PQQ852005:PQQ852058 PGU852005:PGU852058 OWY852005:OWY852058 ONC852005:ONC852058 ODG852005:ODG852058 NTK852005:NTK852058 NJO852005:NJO852058 MZS852005:MZS852058 MPW852005:MPW852058 MGA852005:MGA852058 LWE852005:LWE852058 LMI852005:LMI852058 LCM852005:LCM852058 KSQ852005:KSQ852058 KIU852005:KIU852058 JYY852005:JYY852058 JPC852005:JPC852058 JFG852005:JFG852058 IVK852005:IVK852058 ILO852005:ILO852058 IBS852005:IBS852058 HRW852005:HRW852058 HIA852005:HIA852058 GYE852005:GYE852058 GOI852005:GOI852058 GEM852005:GEM852058 FUQ852005:FUQ852058 FKU852005:FKU852058 FAY852005:FAY852058 ERC852005:ERC852058 EHG852005:EHG852058 DXK852005:DXK852058 DNO852005:DNO852058 DDS852005:DDS852058 CTW852005:CTW852058 CKA852005:CKA852058 CAE852005:CAE852058 BQI852005:BQI852058 BGM852005:BGM852058 AWQ852005:AWQ852058 AMU852005:AMU852058 ACY852005:ACY852058 TC852005:TC852058 JG852005:JG852058 K852005:K852058 WVS786469:WVS786522 WLW786469:WLW786522 WCA786469:WCA786522 VSE786469:VSE786522 VII786469:VII786522 UYM786469:UYM786522 UOQ786469:UOQ786522 UEU786469:UEU786522 TUY786469:TUY786522 TLC786469:TLC786522 TBG786469:TBG786522 SRK786469:SRK786522 SHO786469:SHO786522 RXS786469:RXS786522 RNW786469:RNW786522 REA786469:REA786522 QUE786469:QUE786522 QKI786469:QKI786522 QAM786469:QAM786522 PQQ786469:PQQ786522 PGU786469:PGU786522 OWY786469:OWY786522 ONC786469:ONC786522 ODG786469:ODG786522 NTK786469:NTK786522 NJO786469:NJO786522 MZS786469:MZS786522 MPW786469:MPW786522 MGA786469:MGA786522 LWE786469:LWE786522 LMI786469:LMI786522 LCM786469:LCM786522 KSQ786469:KSQ786522 KIU786469:KIU786522 JYY786469:JYY786522 JPC786469:JPC786522 JFG786469:JFG786522 IVK786469:IVK786522 ILO786469:ILO786522 IBS786469:IBS786522 HRW786469:HRW786522 HIA786469:HIA786522 GYE786469:GYE786522 GOI786469:GOI786522 GEM786469:GEM786522 FUQ786469:FUQ786522 FKU786469:FKU786522 FAY786469:FAY786522 ERC786469:ERC786522 EHG786469:EHG786522 DXK786469:DXK786522 DNO786469:DNO786522 DDS786469:DDS786522 CTW786469:CTW786522 CKA786469:CKA786522 CAE786469:CAE786522 BQI786469:BQI786522 BGM786469:BGM786522 AWQ786469:AWQ786522 AMU786469:AMU786522 ACY786469:ACY786522 TC786469:TC786522 JG786469:JG786522 K786469:K786522 WVS720933:WVS720986 WLW720933:WLW720986 WCA720933:WCA720986 VSE720933:VSE720986 VII720933:VII720986 UYM720933:UYM720986 UOQ720933:UOQ720986 UEU720933:UEU720986 TUY720933:TUY720986 TLC720933:TLC720986 TBG720933:TBG720986 SRK720933:SRK720986 SHO720933:SHO720986 RXS720933:RXS720986 RNW720933:RNW720986 REA720933:REA720986 QUE720933:QUE720986 QKI720933:QKI720986 QAM720933:QAM720986 PQQ720933:PQQ720986 PGU720933:PGU720986 OWY720933:OWY720986 ONC720933:ONC720986 ODG720933:ODG720986 NTK720933:NTK720986 NJO720933:NJO720986 MZS720933:MZS720986 MPW720933:MPW720986 MGA720933:MGA720986 LWE720933:LWE720986 LMI720933:LMI720986 LCM720933:LCM720986 KSQ720933:KSQ720986 KIU720933:KIU720986 JYY720933:JYY720986 JPC720933:JPC720986 JFG720933:JFG720986 IVK720933:IVK720986 ILO720933:ILO720986 IBS720933:IBS720986 HRW720933:HRW720986 HIA720933:HIA720986 GYE720933:GYE720986 GOI720933:GOI720986 GEM720933:GEM720986 FUQ720933:FUQ720986 FKU720933:FKU720986 FAY720933:FAY720986 ERC720933:ERC720986 EHG720933:EHG720986 DXK720933:DXK720986 DNO720933:DNO720986 DDS720933:DDS720986 CTW720933:CTW720986 CKA720933:CKA720986 CAE720933:CAE720986 BQI720933:BQI720986 BGM720933:BGM720986 AWQ720933:AWQ720986 AMU720933:AMU720986 ACY720933:ACY720986 TC720933:TC720986 JG720933:JG720986 K720933:K720986 WVS655397:WVS655450 WLW655397:WLW655450 WCA655397:WCA655450 VSE655397:VSE655450 VII655397:VII655450 UYM655397:UYM655450 UOQ655397:UOQ655450 UEU655397:UEU655450 TUY655397:TUY655450 TLC655397:TLC655450 TBG655397:TBG655450 SRK655397:SRK655450 SHO655397:SHO655450 RXS655397:RXS655450 RNW655397:RNW655450 REA655397:REA655450 QUE655397:QUE655450 QKI655397:QKI655450 QAM655397:QAM655450 PQQ655397:PQQ655450 PGU655397:PGU655450 OWY655397:OWY655450 ONC655397:ONC655450 ODG655397:ODG655450 NTK655397:NTK655450 NJO655397:NJO655450 MZS655397:MZS655450 MPW655397:MPW655450 MGA655397:MGA655450 LWE655397:LWE655450 LMI655397:LMI655450 LCM655397:LCM655450 KSQ655397:KSQ655450 KIU655397:KIU655450 JYY655397:JYY655450 JPC655397:JPC655450 JFG655397:JFG655450 IVK655397:IVK655450 ILO655397:ILO655450 IBS655397:IBS655450 HRW655397:HRW655450 HIA655397:HIA655450 GYE655397:GYE655450 GOI655397:GOI655450 GEM655397:GEM655450 FUQ655397:FUQ655450 FKU655397:FKU655450 FAY655397:FAY655450 ERC655397:ERC655450 EHG655397:EHG655450 DXK655397:DXK655450 DNO655397:DNO655450 DDS655397:DDS655450 CTW655397:CTW655450 CKA655397:CKA655450 CAE655397:CAE655450 BQI655397:BQI655450 BGM655397:BGM655450 AWQ655397:AWQ655450 AMU655397:AMU655450 ACY655397:ACY655450 TC655397:TC655450 JG655397:JG655450 K655397:K655450 WVS589861:WVS589914 WLW589861:WLW589914 WCA589861:WCA589914 VSE589861:VSE589914 VII589861:VII589914 UYM589861:UYM589914 UOQ589861:UOQ589914 UEU589861:UEU589914 TUY589861:TUY589914 TLC589861:TLC589914 TBG589861:TBG589914 SRK589861:SRK589914 SHO589861:SHO589914 RXS589861:RXS589914 RNW589861:RNW589914 REA589861:REA589914 QUE589861:QUE589914 QKI589861:QKI589914 QAM589861:QAM589914 PQQ589861:PQQ589914 PGU589861:PGU589914 OWY589861:OWY589914 ONC589861:ONC589914 ODG589861:ODG589914 NTK589861:NTK589914 NJO589861:NJO589914 MZS589861:MZS589914 MPW589861:MPW589914 MGA589861:MGA589914 LWE589861:LWE589914 LMI589861:LMI589914 LCM589861:LCM589914 KSQ589861:KSQ589914 KIU589861:KIU589914 JYY589861:JYY589914 JPC589861:JPC589914 JFG589861:JFG589914 IVK589861:IVK589914 ILO589861:ILO589914 IBS589861:IBS589914 HRW589861:HRW589914 HIA589861:HIA589914 GYE589861:GYE589914 GOI589861:GOI589914 GEM589861:GEM589914 FUQ589861:FUQ589914 FKU589861:FKU589914 FAY589861:FAY589914 ERC589861:ERC589914 EHG589861:EHG589914 DXK589861:DXK589914 DNO589861:DNO589914 DDS589861:DDS589914 CTW589861:CTW589914 CKA589861:CKA589914 CAE589861:CAE589914 BQI589861:BQI589914 BGM589861:BGM589914 AWQ589861:AWQ589914 AMU589861:AMU589914 ACY589861:ACY589914 TC589861:TC589914 JG589861:JG589914 K589861:K589914 WVS524325:WVS524378 WLW524325:WLW524378 WCA524325:WCA524378 VSE524325:VSE524378 VII524325:VII524378 UYM524325:UYM524378 UOQ524325:UOQ524378 UEU524325:UEU524378 TUY524325:TUY524378 TLC524325:TLC524378 TBG524325:TBG524378 SRK524325:SRK524378 SHO524325:SHO524378 RXS524325:RXS524378 RNW524325:RNW524378 REA524325:REA524378 QUE524325:QUE524378 QKI524325:QKI524378 QAM524325:QAM524378 PQQ524325:PQQ524378 PGU524325:PGU524378 OWY524325:OWY524378 ONC524325:ONC524378 ODG524325:ODG524378 NTK524325:NTK524378 NJO524325:NJO524378 MZS524325:MZS524378 MPW524325:MPW524378 MGA524325:MGA524378 LWE524325:LWE524378 LMI524325:LMI524378 LCM524325:LCM524378 KSQ524325:KSQ524378 KIU524325:KIU524378 JYY524325:JYY524378 JPC524325:JPC524378 JFG524325:JFG524378 IVK524325:IVK524378 ILO524325:ILO524378 IBS524325:IBS524378 HRW524325:HRW524378 HIA524325:HIA524378 GYE524325:GYE524378 GOI524325:GOI524378 GEM524325:GEM524378 FUQ524325:FUQ524378 FKU524325:FKU524378 FAY524325:FAY524378 ERC524325:ERC524378 EHG524325:EHG524378 DXK524325:DXK524378 DNO524325:DNO524378 DDS524325:DDS524378 CTW524325:CTW524378 CKA524325:CKA524378 CAE524325:CAE524378 BQI524325:BQI524378 BGM524325:BGM524378 AWQ524325:AWQ524378 AMU524325:AMU524378 ACY524325:ACY524378 TC524325:TC524378 JG524325:JG524378 K524325:K524378 WVS458789:WVS458842 WLW458789:WLW458842 WCA458789:WCA458842 VSE458789:VSE458842 VII458789:VII458842 UYM458789:UYM458842 UOQ458789:UOQ458842 UEU458789:UEU458842 TUY458789:TUY458842 TLC458789:TLC458842 TBG458789:TBG458842 SRK458789:SRK458842 SHO458789:SHO458842 RXS458789:RXS458842 RNW458789:RNW458842 REA458789:REA458842 QUE458789:QUE458842 QKI458789:QKI458842 QAM458789:QAM458842 PQQ458789:PQQ458842 PGU458789:PGU458842 OWY458789:OWY458842 ONC458789:ONC458842 ODG458789:ODG458842 NTK458789:NTK458842 NJO458789:NJO458842 MZS458789:MZS458842 MPW458789:MPW458842 MGA458789:MGA458842 LWE458789:LWE458842 LMI458789:LMI458842 LCM458789:LCM458842 KSQ458789:KSQ458842 KIU458789:KIU458842 JYY458789:JYY458842 JPC458789:JPC458842 JFG458789:JFG458842 IVK458789:IVK458842 ILO458789:ILO458842 IBS458789:IBS458842 HRW458789:HRW458842 HIA458789:HIA458842 GYE458789:GYE458842 GOI458789:GOI458842 GEM458789:GEM458842 FUQ458789:FUQ458842 FKU458789:FKU458842 FAY458789:FAY458842 ERC458789:ERC458842 EHG458789:EHG458842 DXK458789:DXK458842 DNO458789:DNO458842 DDS458789:DDS458842 CTW458789:CTW458842 CKA458789:CKA458842 CAE458789:CAE458842 BQI458789:BQI458842 BGM458789:BGM458842 AWQ458789:AWQ458842 AMU458789:AMU458842 ACY458789:ACY458842 TC458789:TC458842 JG458789:JG458842 K458789:K458842 WVS393253:WVS393306 WLW393253:WLW393306 WCA393253:WCA393306 VSE393253:VSE393306 VII393253:VII393306 UYM393253:UYM393306 UOQ393253:UOQ393306 UEU393253:UEU393306 TUY393253:TUY393306 TLC393253:TLC393306 TBG393253:TBG393306 SRK393253:SRK393306 SHO393253:SHO393306 RXS393253:RXS393306 RNW393253:RNW393306 REA393253:REA393306 QUE393253:QUE393306 QKI393253:QKI393306 QAM393253:QAM393306 PQQ393253:PQQ393306 PGU393253:PGU393306 OWY393253:OWY393306 ONC393253:ONC393306 ODG393253:ODG393306 NTK393253:NTK393306 NJO393253:NJO393306 MZS393253:MZS393306 MPW393253:MPW393306 MGA393253:MGA393306 LWE393253:LWE393306 LMI393253:LMI393306 LCM393253:LCM393306 KSQ393253:KSQ393306 KIU393253:KIU393306 JYY393253:JYY393306 JPC393253:JPC393306 JFG393253:JFG393306 IVK393253:IVK393306 ILO393253:ILO393306 IBS393253:IBS393306 HRW393253:HRW393306 HIA393253:HIA393306 GYE393253:GYE393306 GOI393253:GOI393306 GEM393253:GEM393306 FUQ393253:FUQ393306 FKU393253:FKU393306 FAY393253:FAY393306 ERC393253:ERC393306 EHG393253:EHG393306 DXK393253:DXK393306 DNO393253:DNO393306 DDS393253:DDS393306 CTW393253:CTW393306 CKA393253:CKA393306 CAE393253:CAE393306 BQI393253:BQI393306 BGM393253:BGM393306 AWQ393253:AWQ393306 AMU393253:AMU393306 ACY393253:ACY393306 TC393253:TC393306 JG393253:JG393306 K393253:K393306 WVS327717:WVS327770 WLW327717:WLW327770 WCA327717:WCA327770 VSE327717:VSE327770 VII327717:VII327770 UYM327717:UYM327770 UOQ327717:UOQ327770 UEU327717:UEU327770 TUY327717:TUY327770 TLC327717:TLC327770 TBG327717:TBG327770 SRK327717:SRK327770 SHO327717:SHO327770 RXS327717:RXS327770 RNW327717:RNW327770 REA327717:REA327770 QUE327717:QUE327770 QKI327717:QKI327770 QAM327717:QAM327770 PQQ327717:PQQ327770 PGU327717:PGU327770 OWY327717:OWY327770 ONC327717:ONC327770 ODG327717:ODG327770 NTK327717:NTK327770 NJO327717:NJO327770 MZS327717:MZS327770 MPW327717:MPW327770 MGA327717:MGA327770 LWE327717:LWE327770 LMI327717:LMI327770 LCM327717:LCM327770 KSQ327717:KSQ327770 KIU327717:KIU327770 JYY327717:JYY327770 JPC327717:JPC327770 JFG327717:JFG327770 IVK327717:IVK327770 ILO327717:ILO327770 IBS327717:IBS327770 HRW327717:HRW327770 HIA327717:HIA327770 GYE327717:GYE327770 GOI327717:GOI327770 GEM327717:GEM327770 FUQ327717:FUQ327770 FKU327717:FKU327770 FAY327717:FAY327770 ERC327717:ERC327770 EHG327717:EHG327770 DXK327717:DXK327770 DNO327717:DNO327770 DDS327717:DDS327770 CTW327717:CTW327770 CKA327717:CKA327770 CAE327717:CAE327770 BQI327717:BQI327770 BGM327717:BGM327770 AWQ327717:AWQ327770 AMU327717:AMU327770 ACY327717:ACY327770 TC327717:TC327770 JG327717:JG327770 K327717:K327770 WVS262181:WVS262234 WLW262181:WLW262234 WCA262181:WCA262234 VSE262181:VSE262234 VII262181:VII262234 UYM262181:UYM262234 UOQ262181:UOQ262234 UEU262181:UEU262234 TUY262181:TUY262234 TLC262181:TLC262234 TBG262181:TBG262234 SRK262181:SRK262234 SHO262181:SHO262234 RXS262181:RXS262234 RNW262181:RNW262234 REA262181:REA262234 QUE262181:QUE262234 QKI262181:QKI262234 QAM262181:QAM262234 PQQ262181:PQQ262234 PGU262181:PGU262234 OWY262181:OWY262234 ONC262181:ONC262234 ODG262181:ODG262234 NTK262181:NTK262234 NJO262181:NJO262234 MZS262181:MZS262234 MPW262181:MPW262234 MGA262181:MGA262234 LWE262181:LWE262234 LMI262181:LMI262234 LCM262181:LCM262234 KSQ262181:KSQ262234 KIU262181:KIU262234 JYY262181:JYY262234 JPC262181:JPC262234 JFG262181:JFG262234 IVK262181:IVK262234 ILO262181:ILO262234 IBS262181:IBS262234 HRW262181:HRW262234 HIA262181:HIA262234 GYE262181:GYE262234 GOI262181:GOI262234 GEM262181:GEM262234 FUQ262181:FUQ262234 FKU262181:FKU262234 FAY262181:FAY262234 ERC262181:ERC262234 EHG262181:EHG262234 DXK262181:DXK262234 DNO262181:DNO262234 DDS262181:DDS262234 CTW262181:CTW262234 CKA262181:CKA262234 CAE262181:CAE262234 BQI262181:BQI262234 BGM262181:BGM262234 AWQ262181:AWQ262234 AMU262181:AMU262234 ACY262181:ACY262234 TC262181:TC262234 JG262181:JG262234 K262181:K262234 WVS196645:WVS196698 WLW196645:WLW196698 WCA196645:WCA196698 VSE196645:VSE196698 VII196645:VII196698 UYM196645:UYM196698 UOQ196645:UOQ196698 UEU196645:UEU196698 TUY196645:TUY196698 TLC196645:TLC196698 TBG196645:TBG196698 SRK196645:SRK196698 SHO196645:SHO196698 RXS196645:RXS196698 RNW196645:RNW196698 REA196645:REA196698 QUE196645:QUE196698 QKI196645:QKI196698 QAM196645:QAM196698 PQQ196645:PQQ196698 PGU196645:PGU196698 OWY196645:OWY196698 ONC196645:ONC196698 ODG196645:ODG196698 NTK196645:NTK196698 NJO196645:NJO196698 MZS196645:MZS196698 MPW196645:MPW196698 MGA196645:MGA196698 LWE196645:LWE196698 LMI196645:LMI196698 LCM196645:LCM196698 KSQ196645:KSQ196698 KIU196645:KIU196698 JYY196645:JYY196698 JPC196645:JPC196698 JFG196645:JFG196698 IVK196645:IVK196698 ILO196645:ILO196698 IBS196645:IBS196698 HRW196645:HRW196698 HIA196645:HIA196698 GYE196645:GYE196698 GOI196645:GOI196698 GEM196645:GEM196698 FUQ196645:FUQ196698 FKU196645:FKU196698 FAY196645:FAY196698 ERC196645:ERC196698 EHG196645:EHG196698 DXK196645:DXK196698 DNO196645:DNO196698 DDS196645:DDS196698 CTW196645:CTW196698 CKA196645:CKA196698 CAE196645:CAE196698 BQI196645:BQI196698 BGM196645:BGM196698 AWQ196645:AWQ196698 AMU196645:AMU196698 ACY196645:ACY196698 TC196645:TC196698 JG196645:JG196698 K196645:K196698 WVS131109:WVS131162 WLW131109:WLW131162 WCA131109:WCA131162 VSE131109:VSE131162 VII131109:VII131162 UYM131109:UYM131162 UOQ131109:UOQ131162 UEU131109:UEU131162 TUY131109:TUY131162 TLC131109:TLC131162 TBG131109:TBG131162 SRK131109:SRK131162 SHO131109:SHO131162 RXS131109:RXS131162 RNW131109:RNW131162 REA131109:REA131162 QUE131109:QUE131162 QKI131109:QKI131162 QAM131109:QAM131162 PQQ131109:PQQ131162 PGU131109:PGU131162 OWY131109:OWY131162 ONC131109:ONC131162 ODG131109:ODG131162 NTK131109:NTK131162 NJO131109:NJO131162 MZS131109:MZS131162 MPW131109:MPW131162 MGA131109:MGA131162 LWE131109:LWE131162 LMI131109:LMI131162 LCM131109:LCM131162 KSQ131109:KSQ131162 KIU131109:KIU131162 JYY131109:JYY131162 JPC131109:JPC131162 JFG131109:JFG131162 IVK131109:IVK131162 ILO131109:ILO131162 IBS131109:IBS131162 HRW131109:HRW131162 HIA131109:HIA131162 GYE131109:GYE131162 GOI131109:GOI131162 GEM131109:GEM131162 FUQ131109:FUQ131162 FKU131109:FKU131162 FAY131109:FAY131162 ERC131109:ERC131162 EHG131109:EHG131162 DXK131109:DXK131162 DNO131109:DNO131162 DDS131109:DDS131162 CTW131109:CTW131162 CKA131109:CKA131162 CAE131109:CAE131162 BQI131109:BQI131162 BGM131109:BGM131162 AWQ131109:AWQ131162 AMU131109:AMU131162 ACY131109:ACY131162 TC131109:TC131162 JG131109:JG131162 K131109:K131162 WVS65573:WVS65626 WLW65573:WLW65626 WCA65573:WCA65626 VSE65573:VSE65626 VII65573:VII65626 UYM65573:UYM65626 UOQ65573:UOQ65626 UEU65573:UEU65626 TUY65573:TUY65626 TLC65573:TLC65626 TBG65573:TBG65626 SRK65573:SRK65626 SHO65573:SHO65626 RXS65573:RXS65626 RNW65573:RNW65626 REA65573:REA65626 QUE65573:QUE65626 QKI65573:QKI65626 QAM65573:QAM65626 PQQ65573:PQQ65626 PGU65573:PGU65626 OWY65573:OWY65626 ONC65573:ONC65626 ODG65573:ODG65626 NTK65573:NTK65626 NJO65573:NJO65626 MZS65573:MZS65626 MPW65573:MPW65626 MGA65573:MGA65626 LWE65573:LWE65626 LMI65573:LMI65626 LCM65573:LCM65626 KSQ65573:KSQ65626 KIU65573:KIU65626 JYY65573:JYY65626 JPC65573:JPC65626 JFG65573:JFG65626 IVK65573:IVK65626 ILO65573:ILO65626 IBS65573:IBS65626 HRW65573:HRW65626 HIA65573:HIA65626 GYE65573:GYE65626 GOI65573:GOI65626 GEM65573:GEM65626 FUQ65573:FUQ65626 FKU65573:FKU65626 FAY65573:FAY65626 ERC65573:ERC65626 EHG65573:EHG65626 DXK65573:DXK65626 DNO65573:DNO65626 DDS65573:DDS65626 CTW65573:CTW65626 CKA65573:CKA65626 CAE65573:CAE65626 BQI65573:BQI65626 BGM65573:BGM65626 AWQ65573:AWQ65626 AMU65573:AMU65626 ACY65573:ACY65626 TC65573:TC65626 JG65573:JG65626 K65573:K65626 WVS24:WVS78 WLW24:WLW78 WCA24:WCA78 VSE24:VSE78 VII24:VII78 UYM24:UYM78 UOQ24:UOQ78 UEU24:UEU78 TUY24:TUY78 TLC24:TLC78 TBG24:TBG78 SRK24:SRK78 SHO24:SHO78 RXS24:RXS78 RNW24:RNW78 REA24:REA78 QUE24:QUE78 QKI24:QKI78 QAM24:QAM78 PQQ24:PQQ78 PGU24:PGU78 OWY24:OWY78 ONC24:ONC78 ODG24:ODG78 NTK24:NTK78 NJO24:NJO78 MZS24:MZS78 MPW24:MPW78 MGA24:MGA78 LWE24:LWE78 LMI24:LMI78 LCM24:LCM78 KSQ24:KSQ78 KIU24:KIU78 JYY24:JYY78 JPC24:JPC78 JFG24:JFG78 IVK24:IVK78 ILO24:ILO78 IBS24:IBS78 HRW24:HRW78 HIA24:HIA78 GYE24:GYE78 GOI24:GOI78 GEM24:GEM78 FUQ24:FUQ78 FKU24:FKU78 FAY24:FAY78 ERC24:ERC78 EHG24:EHG78 DXK24:DXK78 DNO24:DNO78 DDS24:DDS78 CTW24:CTW78 CKA24:CKA78 CAE24:CAE78 BQI24:BQI78 BGM24:BGM78 AWQ24:AWQ78 AMU24:AMU78 ACY24:ACY78 TC24:TC78 JG24:JG78">
      <formula1>$B$194:$B$198</formula1>
    </dataValidation>
  </dataValidations>
  <pageMargins left="0.7" right="0.7" top="0.75" bottom="0.75" header="0.3" footer="0.3"/>
  <ignoredErrors>
    <ignoredError sqref="B5:E6 D12:D13 C4:E4" unlockedFormula="1"/>
  </ignoredErrors>
  <drawing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Q121"/>
  <sheetViews>
    <sheetView zoomScaleNormal="100" workbookViewId="0">
      <selection activeCell="A96" sqref="A96:H96"/>
    </sheetView>
  </sheetViews>
  <sheetFormatPr baseColWidth="10" defaultColWidth="16.140625" defaultRowHeight="15" x14ac:dyDescent="0.25"/>
  <cols>
    <col min="1" max="1" width="33.7109375" style="410" customWidth="1"/>
    <col min="2" max="2" width="28.42578125" style="410" customWidth="1"/>
    <col min="3" max="4" width="28.42578125" style="410" hidden="1" customWidth="1"/>
    <col min="5" max="5" width="27" style="410" customWidth="1"/>
    <col min="6" max="6" width="21" style="410" customWidth="1"/>
    <col min="7" max="7" width="21.28515625" style="410" customWidth="1"/>
    <col min="8" max="8" width="38.42578125" style="410" customWidth="1"/>
    <col min="9" max="9" width="19.140625" style="410" customWidth="1"/>
    <col min="10" max="10" width="23.140625" style="323" customWidth="1"/>
    <col min="11" max="11" width="28.42578125" style="410" customWidth="1"/>
    <col min="12" max="12" width="23.7109375" style="410" customWidth="1"/>
    <col min="13" max="13" width="25.7109375" style="410" customWidth="1"/>
    <col min="14" max="14" width="14.42578125" style="410" customWidth="1"/>
    <col min="15" max="234" width="11.42578125" style="410" customWidth="1"/>
    <col min="235" max="16384" width="16.140625" style="410"/>
  </cols>
  <sheetData>
    <row r="1" spans="1:17" ht="15.75" x14ac:dyDescent="0.25">
      <c r="A1" s="630"/>
      <c r="E1" s="1667"/>
      <c r="F1" s="1667"/>
      <c r="G1" s="1667"/>
      <c r="H1" s="1667"/>
      <c r="I1" s="1667"/>
      <c r="J1" s="1667"/>
      <c r="K1" s="1667"/>
      <c r="L1" s="1667"/>
    </row>
    <row r="2" spans="1:17" ht="50.25" customHeight="1" x14ac:dyDescent="0.25">
      <c r="A2" s="1668"/>
      <c r="B2" s="1669" t="s">
        <v>1793</v>
      </c>
      <c r="C2" s="1670"/>
      <c r="D2" s="1670"/>
      <c r="E2" s="1670"/>
      <c r="F2" s="1670"/>
      <c r="G2" s="1670"/>
      <c r="H2" s="1671"/>
      <c r="I2" s="1675" t="s">
        <v>1799</v>
      </c>
      <c r="J2" s="1676"/>
    </row>
    <row r="3" spans="1:17" ht="43.5" customHeight="1" x14ac:dyDescent="0.25">
      <c r="A3" s="1668"/>
      <c r="B3" s="1672"/>
      <c r="C3" s="1673"/>
      <c r="D3" s="1673"/>
      <c r="E3" s="1673"/>
      <c r="F3" s="1673"/>
      <c r="G3" s="1673"/>
      <c r="H3" s="1674"/>
      <c r="I3" s="1675" t="s">
        <v>1791</v>
      </c>
      <c r="J3" s="1676"/>
    </row>
    <row r="4" spans="1:17" x14ac:dyDescent="0.25">
      <c r="A4" s="630"/>
      <c r="B4" s="630"/>
      <c r="C4" s="630"/>
      <c r="D4" s="630"/>
      <c r="E4" s="630"/>
      <c r="F4" s="630"/>
      <c r="G4" s="630"/>
      <c r="H4" s="631"/>
      <c r="I4" s="631"/>
      <c r="J4" s="630"/>
      <c r="L4" s="631"/>
    </row>
    <row r="5" spans="1:17" ht="25.5" customHeight="1" x14ac:dyDescent="0.25">
      <c r="A5" s="632" t="s">
        <v>1</v>
      </c>
      <c r="B5" s="2074" t="str">
        <f>+'ANALÍTICA ESTADO SITUACIÓN F'!C7</f>
        <v>208 - Caja de Vivienda Popular – CVP</v>
      </c>
      <c r="C5" s="2075"/>
      <c r="D5" s="2075"/>
      <c r="E5" s="2075"/>
      <c r="F5" s="2075"/>
      <c r="G5" s="1283"/>
      <c r="H5" s="1283"/>
      <c r="I5" s="1283"/>
      <c r="J5" s="1283"/>
      <c r="L5" s="631"/>
    </row>
    <row r="6" spans="1:17" ht="33.75" customHeight="1" x14ac:dyDescent="0.25">
      <c r="A6" s="632" t="s">
        <v>1100</v>
      </c>
      <c r="B6" s="1802" t="s">
        <v>1864</v>
      </c>
      <c r="C6" s="1802"/>
      <c r="D6" s="1802"/>
      <c r="E6" s="1802"/>
      <c r="F6" s="1802"/>
      <c r="G6" s="633" t="s">
        <v>787</v>
      </c>
      <c r="H6" s="1447">
        <f>+'ANALÍTICA ESTADO SITUACIÓN F'!H7</f>
        <v>2023</v>
      </c>
      <c r="I6" s="1447"/>
      <c r="J6" s="1447"/>
      <c r="L6" s="631"/>
    </row>
    <row r="7" spans="1:17" ht="39" customHeight="1" x14ac:dyDescent="0.25">
      <c r="A7" s="632" t="s">
        <v>1101</v>
      </c>
      <c r="B7" s="2076">
        <f>+'ANALÍTICA ESTADO SITUACIÓN F'!C9</f>
        <v>45580</v>
      </c>
      <c r="C7" s="1802"/>
      <c r="D7" s="1802"/>
      <c r="E7" s="1802"/>
      <c r="F7" s="1802"/>
      <c r="G7" s="633" t="s">
        <v>122</v>
      </c>
      <c r="H7" s="2076">
        <f>+'ANALÍTICA ESTADO SITUACIÓN F'!H9</f>
        <v>45580</v>
      </c>
      <c r="I7" s="1802"/>
      <c r="J7" s="1802"/>
      <c r="L7" s="631"/>
    </row>
    <row r="8" spans="1:17" ht="15.75" customHeight="1" x14ac:dyDescent="0.25">
      <c r="A8" s="1665"/>
      <c r="B8" s="1665"/>
      <c r="C8" s="1665"/>
      <c r="D8" s="1665"/>
      <c r="E8" s="1665"/>
      <c r="F8" s="1665"/>
      <c r="G8" s="1665"/>
      <c r="H8" s="1665"/>
      <c r="I8" s="1665"/>
      <c r="J8" s="1665"/>
      <c r="K8" s="634"/>
    </row>
    <row r="9" spans="1:17" ht="18" x14ac:dyDescent="0.25">
      <c r="A9" s="1666" t="s">
        <v>1102</v>
      </c>
      <c r="B9" s="1666"/>
      <c r="C9" s="1666"/>
      <c r="D9" s="1666"/>
      <c r="E9" s="1666"/>
      <c r="F9" s="1666"/>
      <c r="G9" s="1666"/>
      <c r="H9" s="1666"/>
      <c r="I9" s="1666"/>
      <c r="J9" s="1666"/>
      <c r="K9" s="635"/>
    </row>
    <row r="10" spans="1:17" ht="32.25" customHeight="1" x14ac:dyDescent="0.25">
      <c r="A10" s="1632" t="s">
        <v>1103</v>
      </c>
      <c r="B10" s="1634" t="s">
        <v>1104</v>
      </c>
      <c r="C10" s="1634" t="s">
        <v>1105</v>
      </c>
      <c r="D10" s="1634" t="s">
        <v>1106</v>
      </c>
      <c r="E10" s="1636" t="s">
        <v>1107</v>
      </c>
      <c r="F10" s="1636" t="s">
        <v>1108</v>
      </c>
      <c r="G10" s="1627" t="s">
        <v>1109</v>
      </c>
      <c r="H10" s="1628"/>
      <c r="I10" s="1627" t="s">
        <v>1110</v>
      </c>
      <c r="J10" s="1629"/>
      <c r="K10" s="636"/>
    </row>
    <row r="11" spans="1:17" ht="23.25" customHeight="1" x14ac:dyDescent="0.25">
      <c r="A11" s="1633"/>
      <c r="B11" s="1635"/>
      <c r="C11" s="1635"/>
      <c r="D11" s="1635"/>
      <c r="E11" s="1636"/>
      <c r="F11" s="1636"/>
      <c r="G11" s="1630" t="s">
        <v>193</v>
      </c>
      <c r="H11" s="1630" t="s">
        <v>195</v>
      </c>
      <c r="I11" s="1631" t="s">
        <v>1111</v>
      </c>
      <c r="J11" s="1631" t="s">
        <v>1112</v>
      </c>
      <c r="K11" s="636"/>
      <c r="L11" s="637"/>
      <c r="M11" s="638"/>
      <c r="N11" s="639"/>
      <c r="O11" s="639"/>
      <c r="P11" s="639"/>
      <c r="Q11" s="639"/>
    </row>
    <row r="12" spans="1:17" ht="25.5" customHeight="1" x14ac:dyDescent="0.25">
      <c r="A12" s="1633"/>
      <c r="B12" s="1635"/>
      <c r="C12" s="1635"/>
      <c r="D12" s="1635"/>
      <c r="E12" s="1634"/>
      <c r="F12" s="1634"/>
      <c r="G12" s="1630"/>
      <c r="H12" s="1630"/>
      <c r="I12" s="1631"/>
      <c r="J12" s="1631"/>
      <c r="K12" s="636"/>
      <c r="L12" s="637"/>
      <c r="M12" s="640"/>
      <c r="N12" s="640"/>
      <c r="O12" s="641"/>
      <c r="P12" s="641"/>
      <c r="Q12" s="641"/>
    </row>
    <row r="13" spans="1:17" ht="44.25" customHeight="1" x14ac:dyDescent="0.25">
      <c r="A13" s="642" t="s">
        <v>1113</v>
      </c>
      <c r="B13" s="643">
        <v>0.35</v>
      </c>
      <c r="C13" s="643">
        <f>IF(ISNUMBER(G13),$B13,0)</f>
        <v>0.35</v>
      </c>
      <c r="D13" s="643">
        <f>IF(ISNUMBER(H13),$B13,0)</f>
        <v>0.35</v>
      </c>
      <c r="E13" s="643">
        <f>IFERROR(C13/C$17,"")</f>
        <v>0.35</v>
      </c>
      <c r="F13" s="644">
        <f>IFERROR(D13/$D$17,"")</f>
        <v>0.41176470588235292</v>
      </c>
      <c r="G13" s="645">
        <f>IFERROR(AVERAGEIF($I$34:$I$63,"EFICACIA",$M$34:$M$63),"")</f>
        <v>0.79749999999999988</v>
      </c>
      <c r="H13" s="646">
        <f>IFERROR(AVERAGEIF($I$34:$I$63,"EFICIENCIA",$M34:$M63),"")</f>
        <v>0.81299999999999994</v>
      </c>
      <c r="I13" s="647">
        <f>IFERROR(G13*$E13,"")</f>
        <v>0.27912499999999996</v>
      </c>
      <c r="J13" s="647">
        <f>IFERROR(H13*$F13,"")</f>
        <v>0.33476470588235291</v>
      </c>
      <c r="K13" s="648"/>
      <c r="L13" s="637"/>
      <c r="M13" s="640"/>
      <c r="N13" s="640"/>
      <c r="O13" s="641"/>
      <c r="P13" s="641"/>
      <c r="Q13" s="641"/>
    </row>
    <row r="14" spans="1:17" ht="56.25" customHeight="1" x14ac:dyDescent="0.25">
      <c r="A14" s="642" t="s">
        <v>1114</v>
      </c>
      <c r="B14" s="643">
        <v>0.15</v>
      </c>
      <c r="C14" s="643">
        <f t="shared" ref="C14:D16" si="0">IF(ISNUMBER(G14),$B14,0)</f>
        <v>0.15</v>
      </c>
      <c r="D14" s="643">
        <f t="shared" si="0"/>
        <v>0</v>
      </c>
      <c r="E14" s="643">
        <f>IFERROR(C14/C$17,"")</f>
        <v>0.15</v>
      </c>
      <c r="F14" s="644">
        <f>IFERROR(D14/$D$17,"")</f>
        <v>0</v>
      </c>
      <c r="G14" s="645">
        <f>IFERROR(AVERAGEIF($I$65:$I$74,"EFICACIA",$M$65:$M$74),"")</f>
        <v>0.83333333333333337</v>
      </c>
      <c r="H14" s="646" t="str">
        <f>IFERROR(AVERAGEIF($I$65:$I$74,"EFICIENCIA",$M$65:$M$74),"")</f>
        <v/>
      </c>
      <c r="I14" s="647">
        <f>IFERROR(G14*$E14,"")</f>
        <v>0.125</v>
      </c>
      <c r="J14" s="647" t="str">
        <f>IFERROR(H14*$F14,"")</f>
        <v/>
      </c>
      <c r="K14" s="648"/>
      <c r="L14" s="637"/>
      <c r="M14" s="640"/>
      <c r="N14" s="640"/>
      <c r="O14" s="641"/>
      <c r="P14" s="641"/>
      <c r="Q14" s="641"/>
    </row>
    <row r="15" spans="1:17" ht="40.5" customHeight="1" x14ac:dyDescent="0.25">
      <c r="A15" s="642" t="s">
        <v>1115</v>
      </c>
      <c r="B15" s="643">
        <v>0.15</v>
      </c>
      <c r="C15" s="643">
        <f t="shared" si="0"/>
        <v>0.15</v>
      </c>
      <c r="D15" s="643">
        <f t="shared" si="0"/>
        <v>0.15</v>
      </c>
      <c r="E15" s="643">
        <f>IFERROR(C15/C$17,"")</f>
        <v>0.15</v>
      </c>
      <c r="F15" s="644">
        <f>IFERROR(D15/$D$17,"")</f>
        <v>0.17647058823529413</v>
      </c>
      <c r="G15" s="645">
        <f>IFERROR(AVERAGEIF($I$75:$I$81,"EFICACIA",$M$75:$M$81),"")</f>
        <v>0.79999999999999993</v>
      </c>
      <c r="H15" s="646">
        <f>IFERROR(AVERAGEIF($I$75:$I$81,"EFICIENCIA",$M75:$M81),"")</f>
        <v>0.85</v>
      </c>
      <c r="I15" s="647">
        <f>IFERROR(G15*$E15,"")</f>
        <v>0.11999999999999998</v>
      </c>
      <c r="J15" s="647">
        <f>IFERROR(H15*$F15,"")</f>
        <v>0.15</v>
      </c>
      <c r="K15" s="648"/>
      <c r="L15" s="637"/>
      <c r="M15" s="640"/>
      <c r="N15" s="640"/>
      <c r="O15" s="641"/>
      <c r="P15" s="641"/>
      <c r="Q15" s="641"/>
    </row>
    <row r="16" spans="1:17" ht="40.5" customHeight="1" x14ac:dyDescent="0.25">
      <c r="A16" s="642" t="s">
        <v>1116</v>
      </c>
      <c r="B16" s="643">
        <v>0.35</v>
      </c>
      <c r="C16" s="643">
        <f t="shared" si="0"/>
        <v>0.35</v>
      </c>
      <c r="D16" s="643">
        <f t="shared" si="0"/>
        <v>0.35</v>
      </c>
      <c r="E16" s="643">
        <f>IFERROR(C16/C$17,"")</f>
        <v>0.35</v>
      </c>
      <c r="F16" s="644">
        <f>IFERROR(D16/$D$17,"")</f>
        <v>0.41176470588235292</v>
      </c>
      <c r="G16" s="645">
        <f>IFERROR(AVERAGEIF($I$82:$I$87,"EFICACIA",$M$82:$M$87),"")</f>
        <v>0.75</v>
      </c>
      <c r="H16" s="646">
        <f>IFERROR(AVERAGEIF($I$82:$I$87,"EFICIENCIA",$M$82:$M$87),"")</f>
        <v>0.83000000000000007</v>
      </c>
      <c r="I16" s="647">
        <f>IFERROR(G16*$E16,"")</f>
        <v>0.26249999999999996</v>
      </c>
      <c r="J16" s="647">
        <f>IFERROR(H16*$F16,"")</f>
        <v>0.34176470588235297</v>
      </c>
      <c r="K16" s="648"/>
      <c r="L16" s="637"/>
      <c r="M16" s="640"/>
      <c r="N16" s="640"/>
      <c r="O16" s="641"/>
      <c r="P16" s="641"/>
      <c r="Q16" s="641"/>
    </row>
    <row r="17" spans="1:17" ht="23.25" x14ac:dyDescent="0.25">
      <c r="A17" s="649" t="s">
        <v>1117</v>
      </c>
      <c r="B17" s="650">
        <f>SUM(B13:B16)</f>
        <v>1</v>
      </c>
      <c r="C17" s="650">
        <f>SUM(C13:C16)</f>
        <v>1</v>
      </c>
      <c r="D17" s="650">
        <f>SUM(D13:D16)</f>
        <v>0.85</v>
      </c>
      <c r="E17" s="650">
        <f>SUM(E13:E16)</f>
        <v>1</v>
      </c>
      <c r="F17" s="651">
        <f>SUM(F13:F16)</f>
        <v>1</v>
      </c>
      <c r="G17" s="1625" t="s">
        <v>200</v>
      </c>
      <c r="H17" s="1626"/>
      <c r="I17" s="652">
        <f>IF(COUNT(I13:I16)&gt;0,SUM(I13:I16),"")</f>
        <v>0.78662499999999991</v>
      </c>
      <c r="J17" s="652">
        <f>IF(COUNT(J13:J16)&gt;0,SUM(J13:J16),"")</f>
        <v>0.82652941176470585</v>
      </c>
      <c r="K17" s="653"/>
      <c r="L17" s="637"/>
      <c r="M17" s="654"/>
      <c r="N17" s="655"/>
      <c r="O17" s="655"/>
      <c r="Q17" s="641"/>
    </row>
    <row r="18" spans="1:17" ht="34.5" customHeight="1" thickBot="1" x14ac:dyDescent="0.3">
      <c r="A18" s="656"/>
      <c r="B18" s="635"/>
      <c r="C18" s="635"/>
      <c r="D18" s="635"/>
      <c r="E18" s="635"/>
      <c r="F18" s="635"/>
      <c r="G18" s="1637" t="str">
        <f>IF(ISNUMBER(I18),IF(I18&gt;=75%,"EFECTIVO","INEFECTIVO"),"")</f>
        <v>EFECTIVO</v>
      </c>
      <c r="H18" s="1638"/>
      <c r="I18" s="1639">
        <f>IFERROR(AVERAGE(I17:J17),"")</f>
        <v>0.80657720588235282</v>
      </c>
      <c r="J18" s="1640"/>
      <c r="K18" s="635"/>
      <c r="L18" s="637"/>
      <c r="M18" s="637"/>
      <c r="N18" s="657"/>
    </row>
    <row r="19" spans="1:17" ht="21" customHeight="1" x14ac:dyDescent="0.25">
      <c r="A19" s="658"/>
      <c r="E19" s="635"/>
      <c r="F19" s="635"/>
      <c r="G19" s="659" t="s">
        <v>288</v>
      </c>
      <c r="H19" s="660" t="s">
        <v>1118</v>
      </c>
      <c r="I19" s="635"/>
      <c r="J19" s="661"/>
      <c r="K19" s="635"/>
    </row>
    <row r="20" spans="1:17" ht="21.75" customHeight="1" thickBot="1" x14ac:dyDescent="0.3">
      <c r="A20" s="662"/>
      <c r="B20" s="663"/>
      <c r="C20" s="663"/>
      <c r="D20" s="663"/>
      <c r="E20" s="664"/>
      <c r="F20" s="664"/>
      <c r="G20" s="665" t="s">
        <v>287</v>
      </c>
      <c r="H20" s="666" t="s">
        <v>1119</v>
      </c>
      <c r="I20" s="663"/>
      <c r="J20" s="667"/>
    </row>
    <row r="21" spans="1:17" ht="15" customHeight="1" x14ac:dyDescent="0.25">
      <c r="E21" s="635"/>
      <c r="F21" s="635"/>
      <c r="G21" s="668"/>
      <c r="H21" s="669"/>
    </row>
    <row r="22" spans="1:17" ht="111" customHeight="1" x14ac:dyDescent="0.25">
      <c r="A22" s="1641" t="s">
        <v>1120</v>
      </c>
      <c r="B22" s="1642"/>
      <c r="C22" s="1642"/>
      <c r="D22" s="1642"/>
      <c r="E22" s="1642"/>
      <c r="F22" s="1642"/>
      <c r="G22" s="1642"/>
      <c r="H22" s="1642"/>
      <c r="I22" s="1642"/>
      <c r="J22" s="1643"/>
    </row>
    <row r="23" spans="1:17" ht="15" customHeight="1" thickBot="1" x14ac:dyDescent="0.3">
      <c r="A23" s="1644"/>
      <c r="B23" s="1644"/>
      <c r="C23" s="1644"/>
      <c r="D23" s="1644"/>
      <c r="E23" s="1644"/>
      <c r="F23" s="1644"/>
      <c r="G23" s="1644"/>
      <c r="H23" s="1644"/>
    </row>
    <row r="24" spans="1:17" ht="15.75" thickBot="1" x14ac:dyDescent="0.3">
      <c r="E24" s="670" t="s">
        <v>179</v>
      </c>
      <c r="F24" s="671" t="s">
        <v>211</v>
      </c>
    </row>
    <row r="25" spans="1:17" ht="27.75" customHeight="1" x14ac:dyDescent="0.25">
      <c r="E25" s="659" t="s">
        <v>288</v>
      </c>
      <c r="F25" s="660" t="s">
        <v>1118</v>
      </c>
    </row>
    <row r="26" spans="1:17" ht="16.5" thickBot="1" x14ac:dyDescent="0.3">
      <c r="E26" s="665" t="s">
        <v>287</v>
      </c>
      <c r="F26" s="666" t="s">
        <v>1119</v>
      </c>
    </row>
    <row r="27" spans="1:17" s="672" customFormat="1" ht="15.75" x14ac:dyDescent="0.25">
      <c r="E27" s="673"/>
      <c r="F27" s="674"/>
      <c r="J27" s="341"/>
    </row>
    <row r="28" spans="1:17" ht="21" x14ac:dyDescent="0.25">
      <c r="A28" s="1645" t="s">
        <v>1121</v>
      </c>
      <c r="B28" s="1646"/>
      <c r="C28" s="1646"/>
      <c r="D28" s="1646"/>
      <c r="E28" s="1646"/>
      <c r="F28" s="1646"/>
      <c r="G28" s="1646"/>
      <c r="H28" s="1646"/>
      <c r="I28" s="1646"/>
      <c r="J28" s="1646"/>
      <c r="K28" s="1646"/>
      <c r="L28" s="1646"/>
      <c r="M28" s="1647"/>
    </row>
    <row r="29" spans="1:17" ht="15.75" thickBot="1" x14ac:dyDescent="0.3">
      <c r="A29" s="675"/>
      <c r="B29" s="676"/>
      <c r="C29" s="676"/>
      <c r="D29" s="676"/>
      <c r="E29" s="676"/>
      <c r="F29" s="676"/>
      <c r="G29" s="676"/>
      <c r="H29" s="676"/>
      <c r="I29" s="676"/>
      <c r="J29" s="677"/>
      <c r="K29" s="676"/>
      <c r="L29" s="676"/>
      <c r="M29" s="635"/>
    </row>
    <row r="30" spans="1:17" ht="15.75" thickBot="1" x14ac:dyDescent="0.3">
      <c r="A30" s="1648" t="s">
        <v>1103</v>
      </c>
      <c r="B30" s="1651" t="s">
        <v>1122</v>
      </c>
      <c r="C30" s="1651"/>
      <c r="D30" s="1651"/>
      <c r="E30" s="1652"/>
      <c r="F30" s="1652"/>
      <c r="G30" s="1652"/>
      <c r="H30" s="1652"/>
      <c r="I30" s="1652"/>
      <c r="J30" s="1652"/>
      <c r="K30" s="1652"/>
      <c r="L30" s="1653"/>
      <c r="M30" s="1654" t="s">
        <v>178</v>
      </c>
    </row>
    <row r="31" spans="1:17" ht="38.25" customHeight="1" x14ac:dyDescent="0.25">
      <c r="A31" s="1649"/>
      <c r="B31" s="1657" t="s">
        <v>1123</v>
      </c>
      <c r="C31" s="1657"/>
      <c r="D31" s="1657"/>
      <c r="E31" s="1658"/>
      <c r="F31" s="1658"/>
      <c r="G31" s="1658"/>
      <c r="H31" s="1658"/>
      <c r="I31" s="1658" t="s">
        <v>209</v>
      </c>
      <c r="J31" s="1658" t="s">
        <v>1124</v>
      </c>
      <c r="K31" s="1658" t="s">
        <v>1125</v>
      </c>
      <c r="L31" s="1660" t="s">
        <v>1126</v>
      </c>
      <c r="M31" s="1655"/>
    </row>
    <row r="32" spans="1:17" ht="76.5" customHeight="1" thickBot="1" x14ac:dyDescent="0.3">
      <c r="A32" s="1650"/>
      <c r="B32" s="678" t="s">
        <v>465</v>
      </c>
      <c r="C32" s="678"/>
      <c r="D32" s="678"/>
      <c r="E32" s="679" t="s">
        <v>1127</v>
      </c>
      <c r="F32" s="679" t="s">
        <v>1128</v>
      </c>
      <c r="G32" s="679" t="s">
        <v>1129</v>
      </c>
      <c r="H32" s="679" t="s">
        <v>1130</v>
      </c>
      <c r="I32" s="1659"/>
      <c r="J32" s="1659"/>
      <c r="K32" s="1659"/>
      <c r="L32" s="1661"/>
      <c r="M32" s="1656"/>
    </row>
    <row r="33" spans="1:13" ht="36" customHeight="1" x14ac:dyDescent="0.25">
      <c r="A33" s="1603" t="s">
        <v>1131</v>
      </c>
      <c r="B33" s="1606" t="s">
        <v>1132</v>
      </c>
      <c r="C33" s="1607"/>
      <c r="D33" s="1607"/>
      <c r="E33" s="1607"/>
      <c r="F33" s="1607"/>
      <c r="G33" s="1607"/>
      <c r="H33" s="1607"/>
      <c r="I33" s="1607"/>
      <c r="J33" s="1607"/>
      <c r="K33" s="1607"/>
      <c r="L33" s="1607"/>
      <c r="M33" s="1608"/>
    </row>
    <row r="34" spans="1:13" ht="71.25" customHeight="1" x14ac:dyDescent="0.25">
      <c r="A34" s="1604"/>
      <c r="B34" s="680" t="s">
        <v>1133</v>
      </c>
      <c r="C34" s="680"/>
      <c r="D34" s="680"/>
      <c r="E34" s="681" t="s">
        <v>1134</v>
      </c>
      <c r="F34" s="682">
        <f>23462378626/28180338979</f>
        <v>0.8325797160738263</v>
      </c>
      <c r="G34" s="683" t="s">
        <v>1135</v>
      </c>
      <c r="H34" s="684" t="s">
        <v>1136</v>
      </c>
      <c r="I34" s="685" t="s">
        <v>193</v>
      </c>
      <c r="J34" s="1609" t="s">
        <v>1137</v>
      </c>
      <c r="K34" s="686" t="s">
        <v>1138</v>
      </c>
      <c r="L34" s="1600" t="s">
        <v>1139</v>
      </c>
      <c r="M34" s="687">
        <v>0.78</v>
      </c>
    </row>
    <row r="35" spans="1:13" ht="63.75" customHeight="1" x14ac:dyDescent="0.25">
      <c r="A35" s="1604"/>
      <c r="B35" s="680" t="s">
        <v>1140</v>
      </c>
      <c r="C35" s="680"/>
      <c r="D35" s="680"/>
      <c r="E35" s="681" t="s">
        <v>1141</v>
      </c>
      <c r="F35" s="688">
        <f>23462378626-28180338979</f>
        <v>-4717960353</v>
      </c>
      <c r="G35" s="683" t="s">
        <v>1142</v>
      </c>
      <c r="H35" s="684" t="s">
        <v>1143</v>
      </c>
      <c r="I35" s="1588" t="s">
        <v>193</v>
      </c>
      <c r="J35" s="1609"/>
      <c r="K35" s="1580" t="s">
        <v>1144</v>
      </c>
      <c r="L35" s="1610"/>
      <c r="M35" s="1587">
        <v>0.85</v>
      </c>
    </row>
    <row r="36" spans="1:13" ht="97.5" customHeight="1" x14ac:dyDescent="0.25">
      <c r="A36" s="1604"/>
      <c r="B36" s="689" t="s">
        <v>1145</v>
      </c>
      <c r="C36" s="689"/>
      <c r="D36" s="689"/>
      <c r="E36" s="686" t="s">
        <v>1146</v>
      </c>
      <c r="F36" s="690"/>
      <c r="G36" s="683" t="s">
        <v>1147</v>
      </c>
      <c r="H36" s="684" t="s">
        <v>1148</v>
      </c>
      <c r="I36" s="1588"/>
      <c r="J36" s="1609"/>
      <c r="K36" s="1580"/>
      <c r="L36" s="1610"/>
      <c r="M36" s="1587"/>
    </row>
    <row r="37" spans="1:13" ht="86.25" customHeight="1" x14ac:dyDescent="0.25">
      <c r="A37" s="1604"/>
      <c r="B37" s="689" t="s">
        <v>1149</v>
      </c>
      <c r="C37" s="689"/>
      <c r="D37" s="689"/>
      <c r="E37" s="681" t="s">
        <v>1150</v>
      </c>
      <c r="F37" s="682">
        <f>68837292084/298129722718*100</f>
        <v>23.089711235908197</v>
      </c>
      <c r="G37" s="683" t="s">
        <v>1135</v>
      </c>
      <c r="H37" s="684" t="s">
        <v>1151</v>
      </c>
      <c r="I37" s="685" t="s">
        <v>193</v>
      </c>
      <c r="J37" s="1577" t="s">
        <v>1152</v>
      </c>
      <c r="K37" s="681" t="s">
        <v>1153</v>
      </c>
      <c r="L37" s="1610"/>
      <c r="M37" s="687">
        <v>0.8</v>
      </c>
    </row>
    <row r="38" spans="1:13" ht="72" customHeight="1" x14ac:dyDescent="0.25">
      <c r="A38" s="1604"/>
      <c r="B38" s="689" t="s">
        <v>1154</v>
      </c>
      <c r="C38" s="689"/>
      <c r="D38" s="689"/>
      <c r="E38" s="681" t="s">
        <v>1155</v>
      </c>
      <c r="F38" s="682">
        <f>28180338979/68837292084*100</f>
        <v>40.937605367469146</v>
      </c>
      <c r="G38" s="683" t="s">
        <v>1135</v>
      </c>
      <c r="H38" s="684" t="s">
        <v>1156</v>
      </c>
      <c r="I38" s="685" t="s">
        <v>193</v>
      </c>
      <c r="J38" s="1577"/>
      <c r="K38" s="681" t="s">
        <v>1157</v>
      </c>
      <c r="L38" s="1610"/>
      <c r="M38" s="687">
        <v>0.8</v>
      </c>
    </row>
    <row r="39" spans="1:13" s="637" customFormat="1" ht="93.75" customHeight="1" x14ac:dyDescent="0.25">
      <c r="A39" s="1604"/>
      <c r="B39" s="689" t="s">
        <v>1158</v>
      </c>
      <c r="C39" s="689"/>
      <c r="D39" s="689"/>
      <c r="E39" s="686" t="s">
        <v>1159</v>
      </c>
      <c r="F39" s="691">
        <f>68837292084/229292430634*100</f>
        <v>30.021615582190375</v>
      </c>
      <c r="G39" s="683" t="s">
        <v>1135</v>
      </c>
      <c r="H39" s="684" t="s">
        <v>1160</v>
      </c>
      <c r="I39" s="692" t="s">
        <v>193</v>
      </c>
      <c r="J39" s="1577"/>
      <c r="K39" s="686" t="s">
        <v>1161</v>
      </c>
      <c r="L39" s="1610"/>
      <c r="M39" s="693">
        <v>0.75</v>
      </c>
    </row>
    <row r="40" spans="1:13" ht="51" customHeight="1" x14ac:dyDescent="0.25">
      <c r="A40" s="1604"/>
      <c r="B40" s="680" t="s">
        <v>1162</v>
      </c>
      <c r="C40" s="680"/>
      <c r="D40" s="680"/>
      <c r="E40" s="681" t="s">
        <v>1163</v>
      </c>
      <c r="F40" s="694"/>
      <c r="G40" s="683" t="s">
        <v>1135</v>
      </c>
      <c r="H40" s="684" t="s">
        <v>1164</v>
      </c>
      <c r="I40" s="1588" t="s">
        <v>193</v>
      </c>
      <c r="J40" s="1577"/>
      <c r="K40" s="1570" t="s">
        <v>1165</v>
      </c>
      <c r="L40" s="1610"/>
      <c r="M40" s="1587">
        <v>0.75</v>
      </c>
    </row>
    <row r="41" spans="1:13" s="637" customFormat="1" ht="60" customHeight="1" x14ac:dyDescent="0.25">
      <c r="A41" s="1604"/>
      <c r="B41" s="689" t="s">
        <v>1166</v>
      </c>
      <c r="C41" s="689"/>
      <c r="D41" s="689"/>
      <c r="E41" s="686" t="s">
        <v>1167</v>
      </c>
      <c r="F41" s="691">
        <f>298129722718/68837292084*100</f>
        <v>433.09333312269399</v>
      </c>
      <c r="G41" s="683" t="s">
        <v>1135</v>
      </c>
      <c r="H41" s="684" t="s">
        <v>1168</v>
      </c>
      <c r="I41" s="1588"/>
      <c r="J41" s="1577"/>
      <c r="K41" s="1570"/>
      <c r="L41" s="1610"/>
      <c r="M41" s="1587"/>
    </row>
    <row r="42" spans="1:13" ht="72.75" customHeight="1" x14ac:dyDescent="0.25">
      <c r="A42" s="1604"/>
      <c r="B42" s="689" t="s">
        <v>1169</v>
      </c>
      <c r="C42" s="689"/>
      <c r="D42" s="689"/>
      <c r="E42" s="695" t="s">
        <v>1170</v>
      </c>
      <c r="F42" s="694"/>
      <c r="G42" s="683" t="s">
        <v>1142</v>
      </c>
      <c r="H42" s="684" t="s">
        <v>1171</v>
      </c>
      <c r="I42" s="1567" t="s">
        <v>195</v>
      </c>
      <c r="J42" s="1612" t="s">
        <v>1172</v>
      </c>
      <c r="K42" s="1600" t="s">
        <v>1173</v>
      </c>
      <c r="L42" s="1610"/>
      <c r="M42" s="1616">
        <v>0.75</v>
      </c>
    </row>
    <row r="43" spans="1:13" ht="88.5" customHeight="1" x14ac:dyDescent="0.25">
      <c r="A43" s="1604"/>
      <c r="B43" s="689" t="s">
        <v>1174</v>
      </c>
      <c r="C43" s="689"/>
      <c r="D43" s="689"/>
      <c r="E43" s="686" t="s">
        <v>1175</v>
      </c>
      <c r="F43" s="696"/>
      <c r="G43" s="695" t="s">
        <v>1135</v>
      </c>
      <c r="H43" s="684" t="s">
        <v>1176</v>
      </c>
      <c r="I43" s="1568"/>
      <c r="J43" s="1613"/>
      <c r="K43" s="1610"/>
      <c r="L43" s="1610"/>
      <c r="M43" s="1617"/>
    </row>
    <row r="44" spans="1:13" s="637" customFormat="1" ht="88.5" customHeight="1" x14ac:dyDescent="0.25">
      <c r="A44" s="1604"/>
      <c r="B44" s="689" t="s">
        <v>1177</v>
      </c>
      <c r="C44" s="689"/>
      <c r="D44" s="689"/>
      <c r="E44" s="686" t="s">
        <v>1178</v>
      </c>
      <c r="F44" s="697"/>
      <c r="G44" s="683" t="s">
        <v>1135</v>
      </c>
      <c r="H44" s="684" t="s">
        <v>1179</v>
      </c>
      <c r="I44" s="1569"/>
      <c r="J44" s="1613"/>
      <c r="K44" s="1615"/>
      <c r="L44" s="1610"/>
      <c r="M44" s="1618"/>
    </row>
    <row r="45" spans="1:13" ht="63" customHeight="1" x14ac:dyDescent="0.25">
      <c r="A45" s="1604"/>
      <c r="B45" s="689" t="s">
        <v>1180</v>
      </c>
      <c r="C45" s="689"/>
      <c r="D45" s="689"/>
      <c r="E45" s="695" t="s">
        <v>1181</v>
      </c>
      <c r="F45" s="698"/>
      <c r="G45" s="695" t="s">
        <v>1135</v>
      </c>
      <c r="H45" s="684" t="s">
        <v>1182</v>
      </c>
      <c r="I45" s="1588" t="s">
        <v>195</v>
      </c>
      <c r="J45" s="1613"/>
      <c r="K45" s="1570" t="s">
        <v>1183</v>
      </c>
      <c r="L45" s="1610"/>
      <c r="M45" s="1587">
        <v>0.7</v>
      </c>
    </row>
    <row r="46" spans="1:13" ht="63" customHeight="1" x14ac:dyDescent="0.25">
      <c r="A46" s="1604"/>
      <c r="B46" s="689" t="s">
        <v>1184</v>
      </c>
      <c r="C46" s="689"/>
      <c r="D46" s="689"/>
      <c r="E46" s="686" t="s">
        <v>1185</v>
      </c>
      <c r="F46" s="696"/>
      <c r="G46" s="695" t="s">
        <v>1142</v>
      </c>
      <c r="H46" s="684" t="s">
        <v>1186</v>
      </c>
      <c r="I46" s="1588"/>
      <c r="J46" s="1613"/>
      <c r="K46" s="1570"/>
      <c r="L46" s="1610"/>
      <c r="M46" s="1587"/>
    </row>
    <row r="47" spans="1:13" ht="69.75" customHeight="1" x14ac:dyDescent="0.25">
      <c r="A47" s="1604"/>
      <c r="B47" s="689" t="s">
        <v>1187</v>
      </c>
      <c r="C47" s="689"/>
      <c r="D47" s="689"/>
      <c r="E47" s="686" t="s">
        <v>1188</v>
      </c>
      <c r="F47" s="696"/>
      <c r="G47" s="695" t="s">
        <v>1135</v>
      </c>
      <c r="H47" s="684" t="s">
        <v>1189</v>
      </c>
      <c r="I47" s="1588"/>
      <c r="J47" s="1613"/>
      <c r="K47" s="1570"/>
      <c r="L47" s="1610"/>
      <c r="M47" s="1587"/>
    </row>
    <row r="48" spans="1:13" ht="83.25" customHeight="1" x14ac:dyDescent="0.25">
      <c r="A48" s="1604"/>
      <c r="B48" s="692" t="s">
        <v>1190</v>
      </c>
      <c r="C48" s="692"/>
      <c r="D48" s="692"/>
      <c r="E48" s="695" t="s">
        <v>1191</v>
      </c>
      <c r="F48" s="699"/>
      <c r="G48" s="685" t="s">
        <v>1135</v>
      </c>
      <c r="H48" s="684" t="s">
        <v>1192</v>
      </c>
      <c r="I48" s="685" t="s">
        <v>195</v>
      </c>
      <c r="J48" s="1614"/>
      <c r="K48" s="695" t="s">
        <v>1193</v>
      </c>
      <c r="L48" s="1610"/>
      <c r="M48" s="687">
        <v>0.85</v>
      </c>
    </row>
    <row r="49" spans="1:13" ht="83.25" customHeight="1" x14ac:dyDescent="0.25">
      <c r="A49" s="1604"/>
      <c r="B49" s="689" t="s">
        <v>1194</v>
      </c>
      <c r="C49" s="689"/>
      <c r="D49" s="689"/>
      <c r="E49" s="686" t="s">
        <v>1195</v>
      </c>
      <c r="F49" s="694"/>
      <c r="G49" s="683" t="s">
        <v>1135</v>
      </c>
      <c r="H49" s="684" t="s">
        <v>1196</v>
      </c>
      <c r="I49" s="1588" t="s">
        <v>195</v>
      </c>
      <c r="J49" s="1577" t="s">
        <v>1197</v>
      </c>
      <c r="K49" s="1570" t="s">
        <v>1198</v>
      </c>
      <c r="L49" s="1610"/>
      <c r="M49" s="1587">
        <v>0.8</v>
      </c>
    </row>
    <row r="50" spans="1:13" ht="67.5" customHeight="1" x14ac:dyDescent="0.25">
      <c r="A50" s="1604"/>
      <c r="B50" s="689" t="s">
        <v>1199</v>
      </c>
      <c r="C50" s="689"/>
      <c r="D50" s="689"/>
      <c r="E50" s="686" t="s">
        <v>1200</v>
      </c>
      <c r="F50" s="694"/>
      <c r="G50" s="683" t="s">
        <v>1135</v>
      </c>
      <c r="H50" s="684" t="s">
        <v>1201</v>
      </c>
      <c r="I50" s="1588"/>
      <c r="J50" s="1577"/>
      <c r="K50" s="1570"/>
      <c r="L50" s="1610"/>
      <c r="M50" s="1587"/>
    </row>
    <row r="51" spans="1:13" ht="87.75" customHeight="1" x14ac:dyDescent="0.25">
      <c r="A51" s="1604"/>
      <c r="B51" s="689" t="s">
        <v>1202</v>
      </c>
      <c r="C51" s="689"/>
      <c r="D51" s="689"/>
      <c r="E51" s="686" t="s">
        <v>1203</v>
      </c>
      <c r="F51" s="694"/>
      <c r="G51" s="683" t="s">
        <v>1135</v>
      </c>
      <c r="H51" s="684" t="s">
        <v>1204</v>
      </c>
      <c r="I51" s="685" t="s">
        <v>195</v>
      </c>
      <c r="J51" s="1577"/>
      <c r="K51" s="681" t="s">
        <v>1205</v>
      </c>
      <c r="L51" s="1610"/>
      <c r="M51" s="687">
        <v>0.8</v>
      </c>
    </row>
    <row r="52" spans="1:13" ht="87.75" customHeight="1" x14ac:dyDescent="0.25">
      <c r="A52" s="1604"/>
      <c r="B52" s="700"/>
      <c r="C52" s="700"/>
      <c r="D52" s="700"/>
      <c r="E52" s="701"/>
      <c r="F52" s="702"/>
      <c r="G52" s="703"/>
      <c r="H52" s="704"/>
      <c r="I52" s="705" t="s">
        <v>193</v>
      </c>
      <c r="J52" s="1577" t="s">
        <v>1206</v>
      </c>
      <c r="K52" s="706"/>
      <c r="L52" s="1610"/>
      <c r="M52" s="687">
        <v>0.8</v>
      </c>
    </row>
    <row r="53" spans="1:13" ht="87.75" customHeight="1" x14ac:dyDescent="0.25">
      <c r="A53" s="1604"/>
      <c r="B53" s="700"/>
      <c r="C53" s="700"/>
      <c r="D53" s="700"/>
      <c r="E53" s="701"/>
      <c r="F53" s="702"/>
      <c r="G53" s="703"/>
      <c r="H53" s="704"/>
      <c r="I53" s="705" t="s">
        <v>195</v>
      </c>
      <c r="J53" s="1577"/>
      <c r="K53" s="706"/>
      <c r="L53" s="1610"/>
      <c r="M53" s="687">
        <v>0.8</v>
      </c>
    </row>
    <row r="54" spans="1:13" ht="87.75" customHeight="1" x14ac:dyDescent="0.25">
      <c r="A54" s="1604"/>
      <c r="B54" s="700"/>
      <c r="C54" s="700"/>
      <c r="D54" s="700"/>
      <c r="E54" s="701"/>
      <c r="F54" s="702"/>
      <c r="G54" s="703"/>
      <c r="H54" s="704"/>
      <c r="I54" s="705" t="s">
        <v>193</v>
      </c>
      <c r="J54" s="1577"/>
      <c r="K54" s="706"/>
      <c r="L54" s="1610"/>
      <c r="M54" s="687">
        <v>0.85</v>
      </c>
    </row>
    <row r="55" spans="1:13" ht="36" customHeight="1" x14ac:dyDescent="0.25">
      <c r="A55" s="1604"/>
      <c r="B55" s="1619" t="s">
        <v>1207</v>
      </c>
      <c r="C55" s="1620"/>
      <c r="D55" s="1620"/>
      <c r="E55" s="1620"/>
      <c r="F55" s="1620"/>
      <c r="G55" s="1620"/>
      <c r="H55" s="1620"/>
      <c r="I55" s="1620"/>
      <c r="J55" s="1620"/>
      <c r="K55" s="1621"/>
      <c r="L55" s="1610"/>
      <c r="M55" s="687">
        <v>0.8</v>
      </c>
    </row>
    <row r="56" spans="1:13" ht="172.5" customHeight="1" x14ac:dyDescent="0.25">
      <c r="A56" s="1604"/>
      <c r="B56" s="689" t="s">
        <v>1208</v>
      </c>
      <c r="C56" s="689"/>
      <c r="D56" s="689"/>
      <c r="E56" s="695" t="s">
        <v>1209</v>
      </c>
      <c r="F56" s="694"/>
      <c r="G56" s="683" t="s">
        <v>1135</v>
      </c>
      <c r="H56" s="707" t="s">
        <v>1210</v>
      </c>
      <c r="I56" s="708" t="s">
        <v>195</v>
      </c>
      <c r="J56" s="1622" t="s">
        <v>1207</v>
      </c>
      <c r="K56" s="709" t="s">
        <v>1211</v>
      </c>
      <c r="L56" s="1610"/>
      <c r="M56" s="687">
        <v>0.85</v>
      </c>
    </row>
    <row r="57" spans="1:13" ht="102" customHeight="1" x14ac:dyDescent="0.25">
      <c r="A57" s="1604"/>
      <c r="B57" s="689" t="s">
        <v>1212</v>
      </c>
      <c r="C57" s="689"/>
      <c r="D57" s="689"/>
      <c r="E57" s="695" t="s">
        <v>1213</v>
      </c>
      <c r="F57" s="694"/>
      <c r="G57" s="683" t="s">
        <v>1142</v>
      </c>
      <c r="H57" s="707" t="s">
        <v>1214</v>
      </c>
      <c r="I57" s="1567" t="s">
        <v>195</v>
      </c>
      <c r="J57" s="1623"/>
      <c r="K57" s="1570" t="s">
        <v>1215</v>
      </c>
      <c r="L57" s="1610"/>
      <c r="M57" s="1587">
        <v>0.9</v>
      </c>
    </row>
    <row r="58" spans="1:13" ht="63.75" customHeight="1" x14ac:dyDescent="0.25">
      <c r="A58" s="1604"/>
      <c r="B58" s="689" t="s">
        <v>1216</v>
      </c>
      <c r="C58" s="689"/>
      <c r="D58" s="689"/>
      <c r="E58" s="695" t="s">
        <v>1217</v>
      </c>
      <c r="F58" s="694"/>
      <c r="G58" s="683" t="s">
        <v>1142</v>
      </c>
      <c r="H58" s="707" t="s">
        <v>1218</v>
      </c>
      <c r="I58" s="1568"/>
      <c r="J58" s="1623"/>
      <c r="K58" s="1570"/>
      <c r="L58" s="1610"/>
      <c r="M58" s="1587"/>
    </row>
    <row r="59" spans="1:13" ht="79.5" customHeight="1" x14ac:dyDescent="0.25">
      <c r="A59" s="1604"/>
      <c r="B59" s="689" t="s">
        <v>1219</v>
      </c>
      <c r="C59" s="689"/>
      <c r="D59" s="689"/>
      <c r="E59" s="695" t="s">
        <v>1220</v>
      </c>
      <c r="F59" s="694"/>
      <c r="G59" s="683" t="s">
        <v>1142</v>
      </c>
      <c r="H59" s="707" t="s">
        <v>1221</v>
      </c>
      <c r="I59" s="1568"/>
      <c r="J59" s="1623"/>
      <c r="K59" s="1570"/>
      <c r="L59" s="1610"/>
      <c r="M59" s="1587"/>
    </row>
    <row r="60" spans="1:13" ht="93.75" customHeight="1" x14ac:dyDescent="0.25">
      <c r="A60" s="1604"/>
      <c r="B60" s="689" t="s">
        <v>1222</v>
      </c>
      <c r="C60" s="689"/>
      <c r="D60" s="689"/>
      <c r="E60" s="695" t="s">
        <v>1223</v>
      </c>
      <c r="F60" s="694"/>
      <c r="G60" s="683" t="s">
        <v>1142</v>
      </c>
      <c r="H60" s="707" t="s">
        <v>1224</v>
      </c>
      <c r="I60" s="1569"/>
      <c r="J60" s="1623"/>
      <c r="K60" s="1570"/>
      <c r="L60" s="1610"/>
      <c r="M60" s="1587"/>
    </row>
    <row r="61" spans="1:13" ht="90.75" customHeight="1" x14ac:dyDescent="0.25">
      <c r="A61" s="1604"/>
      <c r="B61" s="689" t="s">
        <v>1225</v>
      </c>
      <c r="C61" s="689"/>
      <c r="D61" s="689"/>
      <c r="E61" s="695" t="s">
        <v>1226</v>
      </c>
      <c r="F61" s="694"/>
      <c r="G61" s="695" t="s">
        <v>1142</v>
      </c>
      <c r="H61" s="707" t="s">
        <v>1227</v>
      </c>
      <c r="I61" s="1567" t="s">
        <v>195</v>
      </c>
      <c r="J61" s="1623"/>
      <c r="K61" s="1570" t="s">
        <v>1228</v>
      </c>
      <c r="L61" s="1610"/>
      <c r="M61" s="1587">
        <v>0.9</v>
      </c>
    </row>
    <row r="62" spans="1:13" ht="65.25" customHeight="1" x14ac:dyDescent="0.25">
      <c r="A62" s="1604"/>
      <c r="B62" s="689" t="s">
        <v>1229</v>
      </c>
      <c r="C62" s="689"/>
      <c r="D62" s="689"/>
      <c r="E62" s="695" t="s">
        <v>1230</v>
      </c>
      <c r="F62" s="694"/>
      <c r="G62" s="695" t="s">
        <v>1135</v>
      </c>
      <c r="H62" s="707" t="s">
        <v>1231</v>
      </c>
      <c r="I62" s="1569"/>
      <c r="J62" s="1623"/>
      <c r="K62" s="1570"/>
      <c r="L62" s="1610"/>
      <c r="M62" s="1587"/>
    </row>
    <row r="63" spans="1:13" s="637" customFormat="1" ht="119.25" customHeight="1" thickBot="1" x14ac:dyDescent="0.3">
      <c r="A63" s="1605"/>
      <c r="B63" s="710" t="s">
        <v>1232</v>
      </c>
      <c r="C63" s="710"/>
      <c r="D63" s="710"/>
      <c r="E63" s="711" t="s">
        <v>1233</v>
      </c>
      <c r="F63" s="712"/>
      <c r="G63" s="713" t="s">
        <v>1135</v>
      </c>
      <c r="H63" s="714" t="s">
        <v>1234</v>
      </c>
      <c r="I63" s="715" t="s">
        <v>195</v>
      </c>
      <c r="J63" s="1624"/>
      <c r="K63" s="716" t="s">
        <v>1235</v>
      </c>
      <c r="L63" s="1611"/>
      <c r="M63" s="717">
        <v>0.78</v>
      </c>
    </row>
    <row r="64" spans="1:13" ht="42.75" customHeight="1" thickBot="1" x14ac:dyDescent="0.3">
      <c r="A64" s="1589" t="s">
        <v>1236</v>
      </c>
      <c r="B64" s="1590"/>
      <c r="C64" s="1590"/>
      <c r="D64" s="1590"/>
      <c r="E64" s="1590"/>
      <c r="F64" s="1590"/>
      <c r="G64" s="1590"/>
      <c r="H64" s="1590"/>
      <c r="I64" s="1590"/>
      <c r="J64" s="1590"/>
      <c r="K64" s="1590"/>
      <c r="L64" s="1590"/>
      <c r="M64" s="1591"/>
    </row>
    <row r="65" spans="1:13" ht="33.75" customHeight="1" x14ac:dyDescent="0.25">
      <c r="A65" s="1583" t="s">
        <v>1237</v>
      </c>
      <c r="B65" s="1584" t="s">
        <v>1238</v>
      </c>
      <c r="C65" s="1584"/>
      <c r="D65" s="1584"/>
      <c r="E65" s="1584"/>
      <c r="F65" s="1584"/>
      <c r="G65" s="1584"/>
      <c r="H65" s="1584"/>
      <c r="I65" s="1592" t="s">
        <v>193</v>
      </c>
      <c r="J65" s="1585" t="s">
        <v>1239</v>
      </c>
      <c r="K65" s="1594"/>
      <c r="L65" s="1586" t="s">
        <v>1240</v>
      </c>
      <c r="M65" s="1597">
        <v>0.8</v>
      </c>
    </row>
    <row r="66" spans="1:13" ht="43.5" customHeight="1" x14ac:dyDescent="0.25">
      <c r="A66" s="1574"/>
      <c r="B66" s="1548" t="s">
        <v>1241</v>
      </c>
      <c r="C66" s="1548"/>
      <c r="D66" s="1548"/>
      <c r="E66" s="1548"/>
      <c r="F66" s="1548"/>
      <c r="G66" s="1548"/>
      <c r="H66" s="1548"/>
      <c r="I66" s="1568"/>
      <c r="J66" s="1578"/>
      <c r="K66" s="1595"/>
      <c r="L66" s="1570"/>
      <c r="M66" s="1572"/>
    </row>
    <row r="67" spans="1:13" ht="30.75" customHeight="1" x14ac:dyDescent="0.25">
      <c r="A67" s="1574"/>
      <c r="B67" s="1548" t="s">
        <v>1242</v>
      </c>
      <c r="C67" s="1548"/>
      <c r="D67" s="1548"/>
      <c r="E67" s="1548"/>
      <c r="F67" s="1548"/>
      <c r="G67" s="1548"/>
      <c r="H67" s="1548"/>
      <c r="I67" s="1569"/>
      <c r="J67" s="1578"/>
      <c r="K67" s="1595"/>
      <c r="L67" s="1570"/>
      <c r="M67" s="1573"/>
    </row>
    <row r="68" spans="1:13" ht="39" customHeight="1" x14ac:dyDescent="0.25">
      <c r="A68" s="1574"/>
      <c r="B68" s="1548" t="s">
        <v>1243</v>
      </c>
      <c r="C68" s="1548"/>
      <c r="D68" s="1548"/>
      <c r="E68" s="1548"/>
      <c r="F68" s="1548"/>
      <c r="G68" s="1548"/>
      <c r="H68" s="1548"/>
      <c r="I68" s="1567" t="s">
        <v>193</v>
      </c>
      <c r="J68" s="1578"/>
      <c r="K68" s="1595"/>
      <c r="L68" s="1570" t="s">
        <v>1244</v>
      </c>
      <c r="M68" s="1571">
        <v>0.85</v>
      </c>
    </row>
    <row r="69" spans="1:13" ht="27.75" customHeight="1" x14ac:dyDescent="0.25">
      <c r="A69" s="1574"/>
      <c r="B69" s="1548" t="s">
        <v>1245</v>
      </c>
      <c r="C69" s="1548"/>
      <c r="D69" s="1548"/>
      <c r="E69" s="1548"/>
      <c r="F69" s="1548"/>
      <c r="G69" s="1548"/>
      <c r="H69" s="1548"/>
      <c r="I69" s="1568"/>
      <c r="J69" s="1578"/>
      <c r="K69" s="1595"/>
      <c r="L69" s="1570"/>
      <c r="M69" s="1572"/>
    </row>
    <row r="70" spans="1:13" ht="34.5" customHeight="1" x14ac:dyDescent="0.25">
      <c r="A70" s="1574"/>
      <c r="B70" s="1548" t="s">
        <v>1246</v>
      </c>
      <c r="C70" s="1548"/>
      <c r="D70" s="1548"/>
      <c r="E70" s="1548"/>
      <c r="F70" s="1548"/>
      <c r="G70" s="1548"/>
      <c r="H70" s="1548"/>
      <c r="I70" s="1568"/>
      <c r="J70" s="1578"/>
      <c r="K70" s="1595"/>
      <c r="L70" s="1570"/>
      <c r="M70" s="1572"/>
    </row>
    <row r="71" spans="1:13" ht="41.25" customHeight="1" x14ac:dyDescent="0.25">
      <c r="A71" s="1574"/>
      <c r="B71" s="1548" t="s">
        <v>1247</v>
      </c>
      <c r="C71" s="1548"/>
      <c r="D71" s="1548"/>
      <c r="E71" s="1548"/>
      <c r="F71" s="1548"/>
      <c r="G71" s="1548"/>
      <c r="H71" s="1548"/>
      <c r="I71" s="1569"/>
      <c r="J71" s="1578"/>
      <c r="K71" s="1595"/>
      <c r="L71" s="1570"/>
      <c r="M71" s="1573"/>
    </row>
    <row r="72" spans="1:13" ht="34.5" customHeight="1" x14ac:dyDescent="0.25">
      <c r="A72" s="1574" t="s">
        <v>1248</v>
      </c>
      <c r="B72" s="1548" t="s">
        <v>1249</v>
      </c>
      <c r="C72" s="1548"/>
      <c r="D72" s="1548"/>
      <c r="E72" s="1548"/>
      <c r="F72" s="1548"/>
      <c r="G72" s="1548"/>
      <c r="H72" s="1548"/>
      <c r="I72" s="1567" t="s">
        <v>193</v>
      </c>
      <c r="J72" s="1578"/>
      <c r="K72" s="1595"/>
      <c r="L72" s="1570" t="s">
        <v>1250</v>
      </c>
      <c r="M72" s="1571">
        <v>0.85</v>
      </c>
    </row>
    <row r="73" spans="1:13" ht="32.25" customHeight="1" x14ac:dyDescent="0.25">
      <c r="A73" s="1574"/>
      <c r="B73" s="1548" t="s">
        <v>1251</v>
      </c>
      <c r="C73" s="1548"/>
      <c r="D73" s="1548"/>
      <c r="E73" s="1548"/>
      <c r="F73" s="1548"/>
      <c r="G73" s="1548"/>
      <c r="H73" s="1548"/>
      <c r="I73" s="1568"/>
      <c r="J73" s="1578"/>
      <c r="K73" s="1595"/>
      <c r="L73" s="1570"/>
      <c r="M73" s="1572"/>
    </row>
    <row r="74" spans="1:13" ht="34.5" customHeight="1" thickBot="1" x14ac:dyDescent="0.3">
      <c r="A74" s="1598"/>
      <c r="B74" s="1602" t="s">
        <v>1252</v>
      </c>
      <c r="C74" s="1602"/>
      <c r="D74" s="1602"/>
      <c r="E74" s="1602"/>
      <c r="F74" s="1602"/>
      <c r="G74" s="1602"/>
      <c r="H74" s="1602"/>
      <c r="I74" s="1599"/>
      <c r="J74" s="1593"/>
      <c r="K74" s="1596"/>
      <c r="L74" s="1600"/>
      <c r="M74" s="1601"/>
    </row>
    <row r="75" spans="1:13" ht="48.75" customHeight="1" x14ac:dyDescent="0.25">
      <c r="A75" s="1583" t="s">
        <v>1115</v>
      </c>
      <c r="B75" s="1584" t="s">
        <v>1253</v>
      </c>
      <c r="C75" s="1584"/>
      <c r="D75" s="1584"/>
      <c r="E75" s="1584"/>
      <c r="F75" s="1584"/>
      <c r="G75" s="1584"/>
      <c r="H75" s="1584"/>
      <c r="I75" s="718" t="s">
        <v>193</v>
      </c>
      <c r="J75" s="1585" t="s">
        <v>1254</v>
      </c>
      <c r="K75" s="1586"/>
      <c r="L75" s="1586" t="s">
        <v>1255</v>
      </c>
      <c r="M75" s="719">
        <v>0.75</v>
      </c>
    </row>
    <row r="76" spans="1:13" ht="41.25" customHeight="1" x14ac:dyDescent="0.25">
      <c r="A76" s="1574"/>
      <c r="B76" s="1548" t="s">
        <v>1256</v>
      </c>
      <c r="C76" s="1548"/>
      <c r="D76" s="1548"/>
      <c r="E76" s="1548"/>
      <c r="F76" s="1548"/>
      <c r="G76" s="1548"/>
      <c r="H76" s="1548"/>
      <c r="I76" s="685" t="s">
        <v>193</v>
      </c>
      <c r="J76" s="1578"/>
      <c r="K76" s="1570"/>
      <c r="L76" s="1570"/>
      <c r="M76" s="720">
        <v>0.8</v>
      </c>
    </row>
    <row r="77" spans="1:13" ht="23.25" customHeight="1" x14ac:dyDescent="0.25">
      <c r="A77" s="1574"/>
      <c r="B77" s="1548" t="s">
        <v>1257</v>
      </c>
      <c r="C77" s="1548"/>
      <c r="D77" s="1548"/>
      <c r="E77" s="1548"/>
      <c r="F77" s="1548"/>
      <c r="G77" s="1548"/>
      <c r="H77" s="1548"/>
      <c r="I77" s="685" t="s">
        <v>193</v>
      </c>
      <c r="J77" s="1578"/>
      <c r="K77" s="1570"/>
      <c r="L77" s="1570"/>
      <c r="M77" s="720">
        <v>0.85</v>
      </c>
    </row>
    <row r="78" spans="1:13" ht="27.75" customHeight="1" x14ac:dyDescent="0.25">
      <c r="A78" s="1574"/>
      <c r="B78" s="1548" t="s">
        <v>1258</v>
      </c>
      <c r="C78" s="1548"/>
      <c r="D78" s="1548"/>
      <c r="E78" s="1548"/>
      <c r="F78" s="1548"/>
      <c r="G78" s="1548"/>
      <c r="H78" s="1548"/>
      <c r="I78" s="685" t="s">
        <v>193</v>
      </c>
      <c r="J78" s="1578"/>
      <c r="K78" s="1570"/>
      <c r="L78" s="1570"/>
      <c r="M78" s="720">
        <v>0.85</v>
      </c>
    </row>
    <row r="79" spans="1:13" ht="27" customHeight="1" x14ac:dyDescent="0.25">
      <c r="A79" s="1574"/>
      <c r="B79" s="1548" t="s">
        <v>1259</v>
      </c>
      <c r="C79" s="1548"/>
      <c r="D79" s="1548"/>
      <c r="E79" s="1548"/>
      <c r="F79" s="1548"/>
      <c r="G79" s="1548"/>
      <c r="H79" s="1548"/>
      <c r="I79" s="685" t="s">
        <v>193</v>
      </c>
      <c r="J79" s="1578"/>
      <c r="K79" s="1570"/>
      <c r="L79" s="1570"/>
      <c r="M79" s="720">
        <v>0.7</v>
      </c>
    </row>
    <row r="80" spans="1:13" ht="41.25" customHeight="1" x14ac:dyDescent="0.25">
      <c r="A80" s="1574"/>
      <c r="B80" s="1548" t="s">
        <v>1260</v>
      </c>
      <c r="C80" s="1548"/>
      <c r="D80" s="1548"/>
      <c r="E80" s="1548"/>
      <c r="F80" s="1548"/>
      <c r="G80" s="1548"/>
      <c r="H80" s="1548"/>
      <c r="I80" s="685" t="s">
        <v>193</v>
      </c>
      <c r="J80" s="1578"/>
      <c r="K80" s="1570"/>
      <c r="L80" s="1570"/>
      <c r="M80" s="720">
        <v>0.85</v>
      </c>
    </row>
    <row r="81" spans="1:13" ht="57" customHeight="1" x14ac:dyDescent="0.25">
      <c r="A81" s="1574"/>
      <c r="B81" s="1548" t="s">
        <v>1261</v>
      </c>
      <c r="C81" s="1548"/>
      <c r="D81" s="1548"/>
      <c r="E81" s="1548"/>
      <c r="F81" s="1548"/>
      <c r="G81" s="1548"/>
      <c r="H81" s="1548"/>
      <c r="I81" s="685" t="s">
        <v>195</v>
      </c>
      <c r="J81" s="1578"/>
      <c r="K81" s="1570"/>
      <c r="L81" s="1570"/>
      <c r="M81" s="720">
        <v>0.85</v>
      </c>
    </row>
    <row r="82" spans="1:13" ht="29.25" customHeight="1" x14ac:dyDescent="0.25">
      <c r="A82" s="1574" t="s">
        <v>1116</v>
      </c>
      <c r="B82" s="1576" t="s">
        <v>1262</v>
      </c>
      <c r="C82" s="1576"/>
      <c r="D82" s="1576"/>
      <c r="E82" s="1576"/>
      <c r="F82" s="1576"/>
      <c r="G82" s="1576"/>
      <c r="H82" s="1576"/>
      <c r="I82" s="685" t="s">
        <v>195</v>
      </c>
      <c r="J82" s="1577" t="s">
        <v>1263</v>
      </c>
      <c r="K82" s="1580"/>
      <c r="L82" s="1570" t="s">
        <v>1264</v>
      </c>
      <c r="M82" s="720">
        <v>0.8</v>
      </c>
    </row>
    <row r="83" spans="1:13" ht="29.25" customHeight="1" x14ac:dyDescent="0.25">
      <c r="A83" s="1574"/>
      <c r="B83" s="1576" t="s">
        <v>1265</v>
      </c>
      <c r="C83" s="1576"/>
      <c r="D83" s="1576"/>
      <c r="E83" s="1576"/>
      <c r="F83" s="1576"/>
      <c r="G83" s="1576"/>
      <c r="H83" s="1576"/>
      <c r="I83" s="685" t="s">
        <v>195</v>
      </c>
      <c r="J83" s="1577"/>
      <c r="K83" s="1580"/>
      <c r="L83" s="1570"/>
      <c r="M83" s="720">
        <v>0.8</v>
      </c>
    </row>
    <row r="84" spans="1:13" ht="36.75" customHeight="1" x14ac:dyDescent="0.25">
      <c r="A84" s="1574"/>
      <c r="B84" s="1548" t="s">
        <v>1266</v>
      </c>
      <c r="C84" s="1548"/>
      <c r="D84" s="1548"/>
      <c r="E84" s="1548"/>
      <c r="F84" s="1548"/>
      <c r="G84" s="1548"/>
      <c r="H84" s="1548"/>
      <c r="I84" s="685" t="s">
        <v>195</v>
      </c>
      <c r="J84" s="1578"/>
      <c r="K84" s="1580"/>
      <c r="L84" s="1570"/>
      <c r="M84" s="720">
        <v>0.85</v>
      </c>
    </row>
    <row r="85" spans="1:13" ht="21" customHeight="1" x14ac:dyDescent="0.25">
      <c r="A85" s="1574"/>
      <c r="B85" s="1576" t="s">
        <v>1267</v>
      </c>
      <c r="C85" s="1576"/>
      <c r="D85" s="1576"/>
      <c r="E85" s="1576"/>
      <c r="F85" s="1576"/>
      <c r="G85" s="1576"/>
      <c r="H85" s="1576"/>
      <c r="I85" s="685" t="s">
        <v>193</v>
      </c>
      <c r="J85" s="1578"/>
      <c r="K85" s="1580"/>
      <c r="L85" s="1570"/>
      <c r="M85" s="720">
        <v>0.75</v>
      </c>
    </row>
    <row r="86" spans="1:13" ht="45.75" customHeight="1" x14ac:dyDescent="0.25">
      <c r="A86" s="1574"/>
      <c r="B86" s="1548" t="s">
        <v>1268</v>
      </c>
      <c r="C86" s="1548"/>
      <c r="D86" s="1548"/>
      <c r="E86" s="1548"/>
      <c r="F86" s="1548"/>
      <c r="G86" s="1548"/>
      <c r="H86" s="1548"/>
      <c r="I86" s="685" t="s">
        <v>195</v>
      </c>
      <c r="J86" s="1578"/>
      <c r="K86" s="1580"/>
      <c r="L86" s="1570"/>
      <c r="M86" s="720">
        <v>0.85</v>
      </c>
    </row>
    <row r="87" spans="1:13" ht="36.75" customHeight="1" thickBot="1" x14ac:dyDescent="0.3">
      <c r="A87" s="1575"/>
      <c r="B87" s="1558" t="s">
        <v>1269</v>
      </c>
      <c r="C87" s="1558"/>
      <c r="D87" s="1558"/>
      <c r="E87" s="1558"/>
      <c r="F87" s="1558"/>
      <c r="G87" s="1558"/>
      <c r="H87" s="1558"/>
      <c r="I87" s="721" t="s">
        <v>195</v>
      </c>
      <c r="J87" s="1579"/>
      <c r="K87" s="1581"/>
      <c r="L87" s="1582"/>
      <c r="M87" s="722">
        <v>0.85</v>
      </c>
    </row>
    <row r="88" spans="1:13" x14ac:dyDescent="0.25">
      <c r="A88" s="723" t="s">
        <v>1270</v>
      </c>
    </row>
    <row r="89" spans="1:13" ht="15.75" thickBot="1" x14ac:dyDescent="0.3">
      <c r="B89" s="724"/>
      <c r="C89" s="724"/>
      <c r="D89" s="724"/>
    </row>
    <row r="90" spans="1:13" ht="42.75" customHeight="1" x14ac:dyDescent="0.25">
      <c r="A90" s="1559" t="s">
        <v>1271</v>
      </c>
      <c r="B90" s="1560"/>
      <c r="C90" s="1560"/>
      <c r="D90" s="1560"/>
      <c r="E90" s="1560"/>
      <c r="F90" s="1560"/>
      <c r="G90" s="1560"/>
      <c r="H90" s="1560"/>
      <c r="I90" s="1560"/>
      <c r="J90" s="1560"/>
      <c r="K90" s="1560"/>
      <c r="L90" s="1561"/>
    </row>
    <row r="91" spans="1:13" x14ac:dyDescent="0.25">
      <c r="A91" s="725"/>
      <c r="B91" s="388"/>
      <c r="C91" s="388"/>
      <c r="D91" s="388"/>
      <c r="E91" s="388"/>
      <c r="F91" s="388"/>
      <c r="G91" s="388"/>
      <c r="H91" s="388"/>
      <c r="I91" s="388"/>
      <c r="J91" s="271"/>
      <c r="K91" s="388"/>
      <c r="L91" s="726"/>
    </row>
    <row r="92" spans="1:13" ht="74.25" customHeight="1" x14ac:dyDescent="0.25">
      <c r="A92" s="1562" t="s">
        <v>1272</v>
      </c>
      <c r="B92" s="1563"/>
      <c r="C92" s="1563"/>
      <c r="D92" s="1563"/>
      <c r="E92" s="1563"/>
      <c r="F92" s="1563"/>
      <c r="G92" s="1563"/>
      <c r="H92" s="1563"/>
      <c r="I92" s="1563"/>
      <c r="J92" s="1563"/>
      <c r="K92" s="1563"/>
      <c r="L92" s="1564"/>
    </row>
    <row r="93" spans="1:13" x14ac:dyDescent="0.25">
      <c r="A93" s="727"/>
      <c r="B93" s="424"/>
      <c r="C93" s="424"/>
      <c r="D93" s="424"/>
      <c r="E93" s="388"/>
      <c r="F93" s="388"/>
      <c r="G93" s="388"/>
      <c r="H93" s="388"/>
      <c r="I93" s="388"/>
      <c r="J93" s="271"/>
      <c r="K93" s="388"/>
      <c r="L93" s="726"/>
    </row>
    <row r="94" spans="1:13" x14ac:dyDescent="0.25">
      <c r="A94" s="1565" t="s">
        <v>1273</v>
      </c>
      <c r="B94" s="1566"/>
      <c r="C94" s="1566"/>
      <c r="D94" s="1566"/>
      <c r="E94" s="1566"/>
      <c r="F94" s="1566"/>
      <c r="G94" s="1566"/>
      <c r="H94" s="1566"/>
      <c r="I94" s="388"/>
      <c r="J94" s="271"/>
      <c r="K94" s="388"/>
      <c r="L94" s="726"/>
    </row>
    <row r="95" spans="1:13" ht="30.75" customHeight="1" x14ac:dyDescent="0.25">
      <c r="A95" s="1552" t="s">
        <v>1274</v>
      </c>
      <c r="B95" s="1553"/>
      <c r="C95" s="1553"/>
      <c r="D95" s="1553"/>
      <c r="E95" s="1553"/>
      <c r="F95" s="1553"/>
      <c r="G95" s="1553"/>
      <c r="H95" s="1553"/>
      <c r="I95" s="388"/>
      <c r="J95" s="271"/>
      <c r="K95" s="388"/>
      <c r="L95" s="726"/>
    </row>
    <row r="96" spans="1:13" x14ac:dyDescent="0.25">
      <c r="A96" s="1550" t="s">
        <v>1275</v>
      </c>
      <c r="B96" s="1551"/>
      <c r="C96" s="1551"/>
      <c r="D96" s="1551"/>
      <c r="E96" s="1551"/>
      <c r="F96" s="1551"/>
      <c r="G96" s="1551"/>
      <c r="H96" s="1551"/>
      <c r="I96" s="388"/>
      <c r="J96" s="271"/>
      <c r="K96" s="388"/>
      <c r="L96" s="726"/>
    </row>
    <row r="97" spans="1:12" ht="18.75" customHeight="1" x14ac:dyDescent="0.25">
      <c r="A97" s="728" t="s">
        <v>1276</v>
      </c>
      <c r="B97" s="424"/>
      <c r="C97" s="424"/>
      <c r="D97" s="424"/>
      <c r="E97" s="388"/>
      <c r="F97" s="388"/>
      <c r="G97" s="388"/>
      <c r="H97" s="388"/>
      <c r="I97" s="388"/>
      <c r="J97" s="271"/>
      <c r="K97" s="388"/>
      <c r="L97" s="726"/>
    </row>
    <row r="98" spans="1:12" ht="15" customHeight="1" x14ac:dyDescent="0.25">
      <c r="A98" s="1550" t="s">
        <v>1277</v>
      </c>
      <c r="B98" s="1551"/>
      <c r="C98" s="1551"/>
      <c r="D98" s="1551"/>
      <c r="E98" s="1551"/>
      <c r="F98" s="1551"/>
      <c r="G98" s="1551"/>
      <c r="H98" s="388"/>
      <c r="I98" s="388"/>
      <c r="J98" s="271"/>
      <c r="K98" s="388"/>
      <c r="L98" s="726"/>
    </row>
    <row r="99" spans="1:12" ht="15" customHeight="1" x14ac:dyDescent="0.25">
      <c r="A99" s="1550" t="s">
        <v>1278</v>
      </c>
      <c r="B99" s="1551"/>
      <c r="C99" s="1551"/>
      <c r="D99" s="1551"/>
      <c r="E99" s="1551"/>
      <c r="F99" s="1551"/>
      <c r="G99" s="1551"/>
      <c r="H99" s="388"/>
      <c r="I99" s="388"/>
      <c r="J99" s="271"/>
      <c r="K99" s="388"/>
      <c r="L99" s="726"/>
    </row>
    <row r="100" spans="1:12" ht="39" customHeight="1" x14ac:dyDescent="0.25">
      <c r="A100" s="1552" t="s">
        <v>1279</v>
      </c>
      <c r="B100" s="1553"/>
      <c r="C100" s="1553"/>
      <c r="D100" s="1553"/>
      <c r="E100" s="1553"/>
      <c r="F100" s="1553"/>
      <c r="G100" s="1553"/>
      <c r="H100" s="388"/>
      <c r="I100" s="388"/>
      <c r="J100" s="271"/>
      <c r="K100" s="388"/>
      <c r="L100" s="726"/>
    </row>
    <row r="101" spans="1:12" ht="54.75" customHeight="1" thickBot="1" x14ac:dyDescent="0.3">
      <c r="A101" s="1554" t="s">
        <v>1280</v>
      </c>
      <c r="B101" s="1555"/>
      <c r="C101" s="1555"/>
      <c r="D101" s="1555"/>
      <c r="E101" s="1555"/>
      <c r="F101" s="1555"/>
      <c r="G101" s="1555"/>
      <c r="H101" s="1555"/>
      <c r="I101" s="1555"/>
      <c r="J101" s="1555"/>
      <c r="K101" s="1555"/>
      <c r="L101" s="1556"/>
    </row>
    <row r="102" spans="1:12" x14ac:dyDescent="0.25">
      <c r="A102" s="1549"/>
      <c r="B102" s="1549"/>
      <c r="C102" s="1549"/>
      <c r="D102" s="1549"/>
      <c r="E102" s="1549"/>
      <c r="F102" s="1549"/>
      <c r="G102" s="1549"/>
    </row>
    <row r="103" spans="1:12" ht="39" customHeight="1" x14ac:dyDescent="0.25">
      <c r="A103" s="1557"/>
      <c r="B103" s="1557"/>
      <c r="C103" s="1557"/>
      <c r="D103" s="1557"/>
      <c r="E103" s="1557"/>
      <c r="F103" s="1557"/>
      <c r="G103" s="1557"/>
    </row>
    <row r="104" spans="1:12" x14ac:dyDescent="0.25">
      <c r="A104" s="1549"/>
      <c r="B104" s="1549"/>
      <c r="C104" s="1549"/>
      <c r="D104" s="1549"/>
      <c r="E104" s="1549"/>
      <c r="F104" s="1549"/>
      <c r="G104" s="1549"/>
    </row>
    <row r="106" spans="1:12" ht="18.75" customHeight="1" x14ac:dyDescent="0.25"/>
    <row r="108" spans="1:12" x14ac:dyDescent="0.25">
      <c r="A108" s="729"/>
      <c r="B108"/>
      <c r="C108"/>
      <c r="D108"/>
    </row>
    <row r="110" spans="1:12" ht="31.5" customHeight="1" x14ac:dyDescent="0.25"/>
    <row r="115" spans="1:4" ht="27.75" customHeight="1" x14ac:dyDescent="0.25"/>
    <row r="116" spans="1:4" ht="67.5" customHeight="1" x14ac:dyDescent="0.25"/>
    <row r="120" spans="1:4" x14ac:dyDescent="0.25">
      <c r="A120"/>
      <c r="B120"/>
      <c r="C120"/>
      <c r="D120"/>
    </row>
    <row r="121" spans="1:4" x14ac:dyDescent="0.25">
      <c r="A121" s="730"/>
      <c r="B121"/>
      <c r="C121"/>
      <c r="D121"/>
    </row>
  </sheetData>
  <sheetProtection algorithmName="SHA-512" hashValue="1tzc6s/btHFZJ1J9n9fVfmM3isULrjXVZlvIR+GhAle7YH5dGLej9nVVsD4ocYxCMKJmyWdm5mVv+2wzjkLN2g==" saltValue="qrUt5n9vtZe8ES4K50aTOQ==" spinCount="100000" sheet="1" objects="1" scenarios="1"/>
  <protectedRanges>
    <protectedRange sqref="M34:M63" name="Rango3_1"/>
    <protectedRange sqref="F34:F54" name="Rango1_1"/>
    <protectedRange sqref="F56:F63" name="Rango2_1"/>
    <protectedRange sqref="M65:M87" name="Rango4_1"/>
  </protectedRanges>
  <mergeCells count="126">
    <mergeCell ref="B6:F6"/>
    <mergeCell ref="H6:J6"/>
    <mergeCell ref="B7:F7"/>
    <mergeCell ref="H7:J7"/>
    <mergeCell ref="A8:J8"/>
    <mergeCell ref="A9:J9"/>
    <mergeCell ref="E1:L1"/>
    <mergeCell ref="A2:A3"/>
    <mergeCell ref="B5:F5"/>
    <mergeCell ref="B2:H3"/>
    <mergeCell ref="I2:J2"/>
    <mergeCell ref="I3:J3"/>
    <mergeCell ref="G18:H18"/>
    <mergeCell ref="I18:J18"/>
    <mergeCell ref="A22:J22"/>
    <mergeCell ref="A23:H23"/>
    <mergeCell ref="A28:M28"/>
    <mergeCell ref="A30:A32"/>
    <mergeCell ref="B30:L30"/>
    <mergeCell ref="M30:M32"/>
    <mergeCell ref="B31:H31"/>
    <mergeCell ref="I31:I32"/>
    <mergeCell ref="J31:J32"/>
    <mergeCell ref="K31:K32"/>
    <mergeCell ref="L31:L32"/>
    <mergeCell ref="G17:H17"/>
    <mergeCell ref="G10:H10"/>
    <mergeCell ref="I10:J10"/>
    <mergeCell ref="G11:G12"/>
    <mergeCell ref="H11:H12"/>
    <mergeCell ref="I11:I12"/>
    <mergeCell ref="J11:J12"/>
    <mergeCell ref="A10:A12"/>
    <mergeCell ref="B10:B12"/>
    <mergeCell ref="C10:C12"/>
    <mergeCell ref="D10:D12"/>
    <mergeCell ref="E10:E12"/>
    <mergeCell ref="F10:F12"/>
    <mergeCell ref="A33:A63"/>
    <mergeCell ref="B33:M33"/>
    <mergeCell ref="J34:J36"/>
    <mergeCell ref="L34:L63"/>
    <mergeCell ref="I35:I36"/>
    <mergeCell ref="K35:K36"/>
    <mergeCell ref="M35:M36"/>
    <mergeCell ref="J37:J41"/>
    <mergeCell ref="I40:I41"/>
    <mergeCell ref="K40:K41"/>
    <mergeCell ref="M40:M41"/>
    <mergeCell ref="I42:I44"/>
    <mergeCell ref="J42:J48"/>
    <mergeCell ref="K42:K44"/>
    <mergeCell ref="M42:M44"/>
    <mergeCell ref="I45:I47"/>
    <mergeCell ref="K45:K47"/>
    <mergeCell ref="B55:K55"/>
    <mergeCell ref="J56:J63"/>
    <mergeCell ref="I57:I60"/>
    <mergeCell ref="K57:K60"/>
    <mergeCell ref="M57:M60"/>
    <mergeCell ref="I61:I62"/>
    <mergeCell ref="K61:K62"/>
    <mergeCell ref="M61:M62"/>
    <mergeCell ref="M45:M47"/>
    <mergeCell ref="I49:I50"/>
    <mergeCell ref="J49:J51"/>
    <mergeCell ref="K49:K50"/>
    <mergeCell ref="M49:M50"/>
    <mergeCell ref="J52:J54"/>
    <mergeCell ref="A64:M64"/>
    <mergeCell ref="A65:A71"/>
    <mergeCell ref="B65:H65"/>
    <mergeCell ref="I65:I67"/>
    <mergeCell ref="J65:J74"/>
    <mergeCell ref="K65:K74"/>
    <mergeCell ref="L65:L67"/>
    <mergeCell ref="M65:M67"/>
    <mergeCell ref="B66:H66"/>
    <mergeCell ref="B67:H67"/>
    <mergeCell ref="A72:A74"/>
    <mergeCell ref="B72:H72"/>
    <mergeCell ref="I72:I74"/>
    <mergeCell ref="L72:L74"/>
    <mergeCell ref="M72:M74"/>
    <mergeCell ref="B73:H73"/>
    <mergeCell ref="B74:H74"/>
    <mergeCell ref="B68:H68"/>
    <mergeCell ref="I68:I71"/>
    <mergeCell ref="L68:L71"/>
    <mergeCell ref="M68:M71"/>
    <mergeCell ref="B69:H69"/>
    <mergeCell ref="B70:H70"/>
    <mergeCell ref="B71:H71"/>
    <mergeCell ref="B81:H81"/>
    <mergeCell ref="A82:A87"/>
    <mergeCell ref="B82:H82"/>
    <mergeCell ref="J82:J87"/>
    <mergeCell ref="K82:K87"/>
    <mergeCell ref="L82:L87"/>
    <mergeCell ref="B83:H83"/>
    <mergeCell ref="B84:H84"/>
    <mergeCell ref="B85:H85"/>
    <mergeCell ref="B86:H86"/>
    <mergeCell ref="A75:A81"/>
    <mergeCell ref="B75:H75"/>
    <mergeCell ref="J75:J81"/>
    <mergeCell ref="K75:K81"/>
    <mergeCell ref="L75:L81"/>
    <mergeCell ref="B76:H76"/>
    <mergeCell ref="B77:H77"/>
    <mergeCell ref="B78:H78"/>
    <mergeCell ref="B79:H79"/>
    <mergeCell ref="B80:H80"/>
    <mergeCell ref="A104:G104"/>
    <mergeCell ref="A98:G98"/>
    <mergeCell ref="A99:G99"/>
    <mergeCell ref="A100:G100"/>
    <mergeCell ref="A101:L101"/>
    <mergeCell ref="A102:G102"/>
    <mergeCell ref="A103:G103"/>
    <mergeCell ref="B87:H87"/>
    <mergeCell ref="A90:L90"/>
    <mergeCell ref="A92:L92"/>
    <mergeCell ref="A94:H94"/>
    <mergeCell ref="A95:H95"/>
    <mergeCell ref="A96:H96"/>
  </mergeCells>
  <conditionalFormatting sqref="E1:L1 A1 B4:J4 A4:A6 L4:L7 G6:H7 A7:B7">
    <cfRule type="cellIs" dxfId="215" priority="18" operator="equal">
      <formula>"ERROR"</formula>
    </cfRule>
  </conditionalFormatting>
  <conditionalFormatting sqref="G1:L1 F4:J4 G6:H7">
    <cfRule type="cellIs" dxfId="214" priority="14" operator="equal">
      <formula>"INEXISTENTE"</formula>
    </cfRule>
  </conditionalFormatting>
  <conditionalFormatting sqref="G1:L1 F4:J4 L4:L7 G6:H7">
    <cfRule type="cellIs" dxfId="213" priority="15" operator="equal">
      <formula>"INADECUADO"</formula>
    </cfRule>
    <cfRule type="cellIs" dxfId="212" priority="16" operator="equal">
      <formula>"PARCIALMENTE ADECUADO"</formula>
    </cfRule>
    <cfRule type="cellIs" dxfId="211" priority="17" operator="equal">
      <formula>"ADECUADO"</formula>
    </cfRule>
  </conditionalFormatting>
  <conditionalFormatting sqref="I18">
    <cfRule type="cellIs" dxfId="210" priority="21" stopIfTrue="1" operator="lessThan">
      <formula>0.75</formula>
    </cfRule>
    <cfRule type="cellIs" dxfId="209" priority="22" stopIfTrue="1" operator="greaterThanOrEqual">
      <formula>0.75</formula>
    </cfRule>
  </conditionalFormatting>
  <conditionalFormatting sqref="I17:J17">
    <cfRule type="cellIs" dxfId="208" priority="19" stopIfTrue="1" operator="lessThan">
      <formula>0.75</formula>
    </cfRule>
    <cfRule type="cellIs" dxfId="207" priority="20" stopIfTrue="1" operator="greaterThanOrEqual">
      <formula>0.75</formula>
    </cfRule>
  </conditionalFormatting>
  <conditionalFormatting sqref="L4:L7">
    <cfRule type="cellIs" dxfId="206" priority="6" operator="equal">
      <formula>"INEXISTENTE"</formula>
    </cfRule>
  </conditionalFormatting>
  <conditionalFormatting sqref="L5:L6 H6">
    <cfRule type="cellIs" dxfId="205" priority="10" operator="equal">
      <formula>"CRÍTICO"</formula>
    </cfRule>
    <cfRule type="cellIs" dxfId="204" priority="11" operator="equal">
      <formula>"ALTO"</formula>
    </cfRule>
    <cfRule type="cellIs" dxfId="203" priority="12" operator="equal">
      <formula>"MEDIO"</formula>
    </cfRule>
    <cfRule type="cellIs" dxfId="202" priority="13" operator="equal">
      <formula>"BAJO"</formula>
    </cfRule>
  </conditionalFormatting>
  <conditionalFormatting sqref="L5:L6">
    <cfRule type="cellIs" dxfId="201" priority="7" operator="equal">
      <formula>"INEFICAZ"</formula>
    </cfRule>
    <cfRule type="cellIs" dxfId="200" priority="8" operator="equal">
      <formula>"CON DEFICIENCIAS"</formula>
    </cfRule>
    <cfRule type="cellIs" dxfId="199" priority="9" operator="equal">
      <formula>"EFICAZ"</formula>
    </cfRule>
  </conditionalFormatting>
  <conditionalFormatting sqref="A2:B2 I2:I3">
    <cfRule type="cellIs" dxfId="198" priority="5" operator="equal">
      <formula>"ERROR"</formula>
    </cfRule>
  </conditionalFormatting>
  <conditionalFormatting sqref="I2:I3">
    <cfRule type="cellIs" dxfId="197" priority="1" operator="equal">
      <formula>"INEXISTENTE"</formula>
    </cfRule>
  </conditionalFormatting>
  <conditionalFormatting sqref="I2:I3">
    <cfRule type="cellIs" dxfId="196" priority="2" operator="equal">
      <formula>"INADECUADO"</formula>
    </cfRule>
    <cfRule type="cellIs" dxfId="195" priority="3" operator="equal">
      <formula>"PARCIALMENTE ADECUADO"</formula>
    </cfRule>
    <cfRule type="cellIs" dxfId="194" priority="4" operator="equal">
      <formula>"ADECUADO"</formula>
    </cfRule>
  </conditionalFormatting>
  <dataValidations count="16">
    <dataValidation type="custom" allowBlank="1" showInputMessage="1" showErrorMessage="1" sqref="M34 M38">
      <formula1>M34:M87&lt;=100%</formula1>
    </dataValidation>
    <dataValidation type="custom" allowBlank="1" showInputMessage="1" showErrorMessage="1" sqref="M39">
      <formula1>M39:M91&lt;=100%</formula1>
    </dataValidation>
    <dataValidation type="custom" allowBlank="1" showInputMessage="1" showErrorMessage="1" sqref="M37">
      <formula1>M37:M91&lt;=100%</formula1>
    </dataValidation>
    <dataValidation type="custom" allowBlank="1" showInputMessage="1" showErrorMessage="1" sqref="M40">
      <formula1>M40:M91&lt;=100%</formula1>
    </dataValidation>
    <dataValidation type="custom" allowBlank="1" showInputMessage="1" showErrorMessage="1" sqref="M42">
      <formula1>M42:M91&lt;=100%</formula1>
    </dataValidation>
    <dataValidation type="custom" allowBlank="1" showInputMessage="1" showErrorMessage="1" sqref="M49">
      <formula1>M49:M95&lt;=100%</formula1>
    </dataValidation>
    <dataValidation type="custom" allowBlank="1" showInputMessage="1" showErrorMessage="1" sqref="M65">
      <formula1>M65:M94&lt;=100%</formula1>
    </dataValidation>
    <dataValidation type="custom" allowBlank="1" showInputMessage="1" showErrorMessage="1" sqref="M57">
      <formula1>M57:M94&lt;=100%</formula1>
    </dataValidation>
    <dataValidation type="custom" allowBlank="1" showInputMessage="1" showErrorMessage="1" sqref="M61">
      <formula1>M61:M95&lt;=100%</formula1>
    </dataValidation>
    <dataValidation type="custom" allowBlank="1" showInputMessage="1" showErrorMessage="1" sqref="M68">
      <formula1>M68:M96&lt;=100%</formula1>
    </dataValidation>
    <dataValidation type="custom" allowBlank="1" showInputMessage="1" showErrorMessage="1" sqref="M63">
      <formula1>M63:M95&lt;=100%</formula1>
    </dataValidation>
    <dataValidation type="custom" allowBlank="1" showInputMessage="1" showErrorMessage="1" sqref="M72 M75:M82">
      <formula1>M72:M99&lt;=100%</formula1>
    </dataValidation>
    <dataValidation type="custom" allowBlank="1" showInputMessage="1" showErrorMessage="1" sqref="M83">
      <formula1>M83:M109&lt;=100%</formula1>
    </dataValidation>
    <dataValidation type="custom" allowBlank="1" showInputMessage="1" showErrorMessage="1" sqref="M84:M85">
      <formula1>M84:M109&lt;=100%</formula1>
    </dataValidation>
    <dataValidation type="custom" allowBlank="1" showInputMessage="1" showErrorMessage="1" sqref="M86:M87">
      <formula1>M86:M110&lt;=100%</formula1>
    </dataValidation>
    <dataValidation type="custom" allowBlank="1" showInputMessage="1" showErrorMessage="1" sqref="M51:M54">
      <formula1>M51:M94&lt;=100%</formula1>
    </dataValidation>
  </dataValidations>
  <pageMargins left="0.7" right="0.7" top="0.75" bottom="0.75" header="0.3" footer="0.3"/>
  <drawing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T116"/>
  <sheetViews>
    <sheetView zoomScaleNormal="100" workbookViewId="0">
      <selection activeCell="B103" sqref="B103"/>
    </sheetView>
  </sheetViews>
  <sheetFormatPr baseColWidth="10" defaultColWidth="11.42578125" defaultRowHeight="14.25" x14ac:dyDescent="0.25"/>
  <cols>
    <col min="1" max="1" width="33.85546875" style="294" customWidth="1"/>
    <col min="2" max="2" width="70.140625" style="294" customWidth="1"/>
    <col min="3" max="3" width="29.5703125" style="294" customWidth="1"/>
    <col min="4" max="4" width="24.5703125" style="294" customWidth="1"/>
    <col min="5" max="5" width="28.85546875" style="294" customWidth="1"/>
    <col min="6" max="6" width="22.28515625" style="294" customWidth="1"/>
    <col min="7" max="7" width="31.5703125" style="294" customWidth="1"/>
    <col min="8" max="8" width="18" style="294" customWidth="1"/>
    <col min="9" max="9" width="33" style="294" customWidth="1"/>
    <col min="10" max="10" width="37.5703125" style="294" customWidth="1"/>
    <col min="11" max="11" width="23.7109375" style="294" customWidth="1"/>
    <col min="12" max="12" width="21.5703125" style="294" customWidth="1"/>
    <col min="13" max="13" width="33" style="294" customWidth="1"/>
    <col min="14" max="14" width="30.5703125" style="294" customWidth="1"/>
    <col min="15" max="15" width="19.7109375" style="294" customWidth="1"/>
    <col min="16" max="16" width="28" style="294" customWidth="1"/>
    <col min="17" max="17" width="19.140625" style="294" customWidth="1"/>
    <col min="18" max="18" width="15.85546875" style="294" customWidth="1"/>
    <col min="19" max="19" width="33.140625" style="294" customWidth="1"/>
    <col min="20" max="45" width="11.42578125" style="294"/>
    <col min="46" max="46" width="48.85546875" style="294" customWidth="1"/>
    <col min="47" max="16384" width="11.42578125" style="294"/>
  </cols>
  <sheetData>
    <row r="1" spans="1:19" ht="66" customHeight="1" x14ac:dyDescent="0.25">
      <c r="A1" s="1681"/>
      <c r="B1" s="1488" t="s">
        <v>1792</v>
      </c>
      <c r="C1" s="1488"/>
      <c r="D1" s="1488"/>
      <c r="E1" s="1488"/>
      <c r="F1" s="1488"/>
      <c r="G1" s="1488"/>
      <c r="H1" s="1488"/>
      <c r="I1" s="1488"/>
      <c r="J1" s="1488"/>
      <c r="K1" s="1488"/>
      <c r="L1" s="1488"/>
      <c r="M1" s="1488"/>
      <c r="N1" s="1488"/>
      <c r="O1" s="1488"/>
      <c r="P1" s="1488"/>
      <c r="Q1" s="1488"/>
      <c r="R1" s="1488"/>
      <c r="S1" s="1677" t="s">
        <v>1785</v>
      </c>
    </row>
    <row r="2" spans="1:19" ht="42.75" customHeight="1" x14ac:dyDescent="0.25">
      <c r="A2" s="1681"/>
      <c r="B2" s="1488"/>
      <c r="C2" s="1488"/>
      <c r="D2" s="1488"/>
      <c r="E2" s="1488"/>
      <c r="F2" s="1488"/>
      <c r="G2" s="1488"/>
      <c r="H2" s="1488"/>
      <c r="I2" s="1488"/>
      <c r="J2" s="1488"/>
      <c r="K2" s="1488"/>
      <c r="L2" s="1488"/>
      <c r="M2" s="1488"/>
      <c r="N2" s="1488"/>
      <c r="O2" s="1488"/>
      <c r="P2" s="1488"/>
      <c r="Q2" s="1488"/>
      <c r="R2" s="1488"/>
      <c r="S2" s="1677"/>
    </row>
    <row r="3" spans="1:19" x14ac:dyDescent="0.25">
      <c r="A3" s="1290"/>
      <c r="B3" s="1290"/>
      <c r="C3" s="1290"/>
      <c r="D3" s="1290"/>
      <c r="E3" s="1290"/>
      <c r="F3" s="1290"/>
      <c r="G3" s="1290"/>
      <c r="H3" s="303"/>
      <c r="I3" s="303"/>
      <c r="J3" s="303"/>
      <c r="K3" s="303"/>
      <c r="L3" s="303"/>
      <c r="M3" s="303"/>
      <c r="N3" s="303"/>
      <c r="O3" s="303"/>
      <c r="P3" s="303"/>
      <c r="Q3" s="303"/>
      <c r="R3" s="303"/>
      <c r="S3" s="303"/>
    </row>
    <row r="4" spans="1:19" ht="18" x14ac:dyDescent="0.25">
      <c r="A4" s="1678" t="s">
        <v>1739</v>
      </c>
      <c r="B4" s="1678"/>
      <c r="C4" s="1678"/>
      <c r="D4" s="1678"/>
      <c r="E4" s="1678"/>
      <c r="F4" s="1678"/>
      <c r="G4" s="1678"/>
      <c r="H4" s="731"/>
      <c r="I4" s="731"/>
      <c r="J4" s="731"/>
      <c r="K4" s="731"/>
      <c r="L4" s="731"/>
      <c r="M4" s="731"/>
      <c r="N4" s="731"/>
      <c r="O4" s="731"/>
      <c r="P4" s="731"/>
      <c r="Q4" s="731"/>
      <c r="R4" s="731"/>
      <c r="S4" s="731"/>
    </row>
    <row r="5" spans="1:19" ht="18" x14ac:dyDescent="0.25">
      <c r="A5" s="1678" t="s">
        <v>1715</v>
      </c>
      <c r="B5" s="1678"/>
      <c r="C5" s="1678"/>
      <c r="D5" s="1678"/>
      <c r="E5" s="1678"/>
      <c r="F5" s="1678"/>
      <c r="G5" s="1678"/>
      <c r="H5" s="731"/>
      <c r="I5" s="731"/>
      <c r="J5" s="731"/>
      <c r="K5" s="731"/>
      <c r="L5" s="731"/>
      <c r="M5" s="731"/>
      <c r="N5" s="731"/>
      <c r="O5" s="731"/>
      <c r="P5" s="731"/>
      <c r="Q5" s="731"/>
      <c r="R5" s="731"/>
      <c r="S5" s="731"/>
    </row>
    <row r="6" spans="1:19" ht="18" x14ac:dyDescent="0.25">
      <c r="A6" s="253"/>
      <c r="B6" s="253"/>
      <c r="C6" s="253"/>
      <c r="D6" s="253"/>
      <c r="E6" s="253"/>
      <c r="F6" s="253"/>
      <c r="G6" s="253"/>
      <c r="H6" s="253"/>
      <c r="I6" s="253"/>
      <c r="J6" s="253"/>
      <c r="K6" s="253"/>
      <c r="L6" s="253"/>
      <c r="M6" s="253"/>
      <c r="N6" s="253"/>
      <c r="O6" s="253"/>
      <c r="P6" s="253"/>
      <c r="Q6" s="253"/>
      <c r="R6" s="253"/>
      <c r="S6" s="253"/>
    </row>
    <row r="7" spans="1:19" ht="18" x14ac:dyDescent="0.25">
      <c r="A7" s="1284" t="s">
        <v>0</v>
      </c>
      <c r="B7" s="1447" t="str">
        <f>+'ANALÍTICA ESTADO SITUACIÓN F'!C6</f>
        <v xml:space="preserve">130000 - DIRECCIÓN SECTOR HÁBITAT Y AMBIENTE </v>
      </c>
      <c r="C7" s="1447"/>
      <c r="D7" s="907"/>
      <c r="E7" s="630"/>
      <c r="F7" s="630"/>
      <c r="G7" s="630"/>
      <c r="H7" s="630"/>
      <c r="I7" s="303"/>
      <c r="J7" s="303"/>
      <c r="K7" s="303"/>
      <c r="L7" s="303"/>
      <c r="M7" s="303"/>
      <c r="N7" s="303"/>
      <c r="O7" s="303"/>
      <c r="P7" s="303"/>
      <c r="Q7" s="784"/>
      <c r="R7" s="784"/>
    </row>
    <row r="8" spans="1:19" ht="30" customHeight="1" x14ac:dyDescent="0.25">
      <c r="A8" s="1285" t="s">
        <v>1281</v>
      </c>
      <c r="B8" s="2205" t="str">
        <f>+'ANALÍTICA ESTADO SITUACIÓN F'!C7</f>
        <v>208 - Caja de Vivienda Popular – CVP</v>
      </c>
      <c r="C8" s="1802"/>
      <c r="D8" s="630"/>
      <c r="E8" s="1284" t="s">
        <v>2</v>
      </c>
      <c r="F8" s="1447">
        <f>+'ANALÍTICA ESTADO SITUACIÓN F'!H7</f>
        <v>2023</v>
      </c>
      <c r="G8" s="1447"/>
      <c r="H8" s="631"/>
      <c r="I8" s="737"/>
      <c r="J8" s="737"/>
      <c r="K8" s="737"/>
      <c r="L8" s="737"/>
      <c r="M8" s="737"/>
      <c r="N8" s="737"/>
      <c r="O8" s="737"/>
      <c r="P8" s="737"/>
      <c r="Q8" s="908"/>
      <c r="R8" s="908"/>
    </row>
    <row r="9" spans="1:19" ht="15" x14ac:dyDescent="0.25">
      <c r="A9" s="1284" t="s">
        <v>1781</v>
      </c>
      <c r="B9" s="1802">
        <f>+'ANALÍTICA ESTADO SITUACIÓN F'!C8</f>
        <v>2025</v>
      </c>
      <c r="C9" s="1802"/>
      <c r="D9" s="630"/>
      <c r="E9" s="1284" t="s">
        <v>3</v>
      </c>
      <c r="F9" s="1802">
        <f>+'ANALÍTICA ESTADO SITUACIÓN F'!H8</f>
        <v>55</v>
      </c>
      <c r="G9" s="1802"/>
      <c r="H9" s="631"/>
      <c r="I9" s="737"/>
      <c r="J9" s="737"/>
      <c r="K9" s="737"/>
      <c r="L9" s="737"/>
      <c r="M9" s="737"/>
      <c r="N9" s="737"/>
      <c r="O9" s="784"/>
      <c r="P9" s="784"/>
      <c r="Q9" s="908"/>
      <c r="R9" s="908"/>
    </row>
    <row r="10" spans="1:19" ht="15" x14ac:dyDescent="0.25">
      <c r="A10" s="1284" t="s">
        <v>4</v>
      </c>
      <c r="B10" s="2076">
        <f>+'ANALÍTICA ESTADO SITUACIÓN F'!C9</f>
        <v>45580</v>
      </c>
      <c r="C10" s="1802"/>
      <c r="D10" s="630"/>
      <c r="E10" s="1284" t="s">
        <v>1282</v>
      </c>
      <c r="F10" s="2076">
        <f>+'ANALÍTICA ESTADO SITUACIÓN F'!H9</f>
        <v>45580</v>
      </c>
      <c r="G10" s="1802"/>
      <c r="H10" s="631"/>
      <c r="I10" s="737"/>
      <c r="J10" s="737"/>
      <c r="K10" s="737"/>
      <c r="L10" s="737"/>
      <c r="M10" s="737"/>
      <c r="N10" s="737"/>
      <c r="O10" s="737"/>
      <c r="P10" s="737"/>
      <c r="Q10" s="908"/>
      <c r="R10" s="908"/>
    </row>
    <row r="11" spans="1:19" ht="15" x14ac:dyDescent="0.25">
      <c r="A11" s="1284"/>
      <c r="B11" s="1190"/>
      <c r="C11" s="630"/>
      <c r="D11" s="630"/>
      <c r="E11" s="1284"/>
      <c r="F11" s="1283"/>
      <c r="G11" s="1283"/>
      <c r="H11" s="631"/>
      <c r="I11" s="737"/>
      <c r="J11" s="737"/>
      <c r="K11" s="737"/>
      <c r="L11" s="737"/>
      <c r="M11" s="737"/>
      <c r="N11" s="737"/>
      <c r="O11" s="737"/>
      <c r="P11" s="737"/>
      <c r="Q11" s="908"/>
      <c r="R11" s="908"/>
    </row>
    <row r="12" spans="1:19" ht="15.75" thickBot="1" x14ac:dyDescent="0.3">
      <c r="A12" s="735"/>
      <c r="B12" s="732"/>
      <c r="E12" s="736"/>
      <c r="F12" s="737"/>
      <c r="G12" s="737"/>
      <c r="H12" s="631"/>
      <c r="I12" s="737"/>
      <c r="J12" s="737"/>
      <c r="K12" s="737"/>
      <c r="L12" s="737"/>
      <c r="M12" s="737"/>
      <c r="N12" s="737"/>
      <c r="O12" s="737"/>
      <c r="P12" s="737"/>
      <c r="Q12" s="908"/>
      <c r="R12" s="908"/>
    </row>
    <row r="13" spans="1:19" ht="15" x14ac:dyDescent="0.25">
      <c r="A13" s="1682" t="s">
        <v>1659</v>
      </c>
      <c r="B13" s="1683"/>
      <c r="C13" s="1686" t="s">
        <v>1660</v>
      </c>
      <c r="D13" s="1686"/>
      <c r="E13" s="1686"/>
      <c r="F13" s="1686"/>
      <c r="G13" s="1686"/>
      <c r="H13" s="1686"/>
      <c r="I13" s="1686"/>
      <c r="J13" s="1688" t="s">
        <v>1661</v>
      </c>
      <c r="K13" s="1686"/>
      <c r="L13" s="1686"/>
      <c r="M13" s="1686"/>
      <c r="N13" s="1686"/>
      <c r="O13" s="1686"/>
      <c r="P13" s="1686"/>
      <c r="Q13" s="1686"/>
      <c r="R13" s="1686"/>
      <c r="S13" s="909"/>
    </row>
    <row r="14" spans="1:19" ht="15" thickBot="1" x14ac:dyDescent="0.3">
      <c r="A14" s="1684"/>
      <c r="B14" s="1685"/>
      <c r="C14" s="1687"/>
      <c r="D14" s="1687"/>
      <c r="E14" s="1687"/>
      <c r="F14" s="1687"/>
      <c r="G14" s="1687"/>
      <c r="H14" s="1687"/>
      <c r="I14" s="1687"/>
      <c r="J14" s="1689"/>
      <c r="K14" s="1687"/>
      <c r="L14" s="1687"/>
      <c r="M14" s="1687"/>
      <c r="N14" s="1687"/>
      <c r="O14" s="1687"/>
      <c r="P14" s="1687"/>
      <c r="Q14" s="1687"/>
      <c r="R14" s="1687"/>
      <c r="S14" s="910" t="s">
        <v>1662</v>
      </c>
    </row>
    <row r="15" spans="1:19" ht="65.25" customHeight="1" x14ac:dyDescent="0.25">
      <c r="A15" s="1690" t="s">
        <v>302</v>
      </c>
      <c r="B15" s="1679" t="s">
        <v>1663</v>
      </c>
      <c r="C15" s="1690" t="s">
        <v>1664</v>
      </c>
      <c r="D15" s="1692" t="s">
        <v>1665</v>
      </c>
      <c r="E15" s="1692" t="s">
        <v>1666</v>
      </c>
      <c r="F15" s="1692" t="s">
        <v>1667</v>
      </c>
      <c r="G15" s="1692" t="s">
        <v>1668</v>
      </c>
      <c r="H15" s="1692" t="s">
        <v>1669</v>
      </c>
      <c r="I15" s="1679" t="s">
        <v>1670</v>
      </c>
      <c r="J15" s="1690" t="s">
        <v>1671</v>
      </c>
      <c r="K15" s="1692" t="s">
        <v>1672</v>
      </c>
      <c r="L15" s="1692"/>
      <c r="M15" s="1692" t="s">
        <v>1673</v>
      </c>
      <c r="N15" s="1692" t="s">
        <v>1674</v>
      </c>
      <c r="O15" s="1694" t="s">
        <v>1675</v>
      </c>
      <c r="P15" s="1695"/>
      <c r="Q15" s="1696"/>
      <c r="R15" s="1692" t="s">
        <v>1676</v>
      </c>
      <c r="S15" s="1679" t="s">
        <v>1677</v>
      </c>
    </row>
    <row r="16" spans="1:19" ht="23.25" customHeight="1" thickBot="1" x14ac:dyDescent="0.3">
      <c r="A16" s="1691"/>
      <c r="B16" s="1680"/>
      <c r="C16" s="1691"/>
      <c r="D16" s="1693"/>
      <c r="E16" s="1693"/>
      <c r="F16" s="1693"/>
      <c r="G16" s="1693"/>
      <c r="H16" s="1693"/>
      <c r="I16" s="1680"/>
      <c r="J16" s="1691"/>
      <c r="K16" s="911" t="s">
        <v>1678</v>
      </c>
      <c r="L16" s="911" t="s">
        <v>1679</v>
      </c>
      <c r="M16" s="1693"/>
      <c r="N16" s="1693"/>
      <c r="O16" s="1697"/>
      <c r="P16" s="1698"/>
      <c r="Q16" s="1699"/>
      <c r="R16" s="1693"/>
      <c r="S16" s="1680"/>
    </row>
    <row r="17" spans="1:46" ht="16.5" customHeight="1" x14ac:dyDescent="0.25">
      <c r="A17" s="1700"/>
      <c r="B17" s="1701"/>
      <c r="C17" s="1701"/>
      <c r="D17" s="1701"/>
      <c r="E17" s="1701"/>
      <c r="F17" s="1701"/>
      <c r="G17" s="1701"/>
      <c r="H17" s="1701"/>
      <c r="I17" s="1701"/>
      <c r="J17" s="1701"/>
      <c r="K17" s="1701"/>
      <c r="L17" s="1701"/>
      <c r="M17" s="1701"/>
      <c r="N17" s="1701"/>
      <c r="O17" s="1701"/>
      <c r="P17" s="1701"/>
      <c r="Q17" s="1701"/>
      <c r="R17" s="1701"/>
      <c r="S17" s="1702"/>
    </row>
    <row r="18" spans="1:46" s="781" customFormat="1" ht="15" x14ac:dyDescent="0.25">
      <c r="A18" s="912">
        <f>IF(VLOOKUP($B$8,'LISTAS PPTO'!$F$3:$I$100,4)="X","Sin Recaudo",IF(OR(VLOOKUP($B$8,'LISTAS PPTO'!$F$3:$G$100,2)="Empresa Industrial y Comercial",VLOOKUP($B$8,'LISTAS PPTO'!$F$3:$G$100,2)="Subred"),'LISTAS PPTO'!AO4,IF(OR(VLOOKUP($B$8,'LISTAS PPTO'!$F$3:$G$100,2)="Mixta",VLOOKUP($B$8,'LISTAS PPTO'!$F$3:$G$100,2)="Menor 50%"),"No Aplica",'LISTAS PPTO'!AO4)))</f>
        <v>41</v>
      </c>
      <c r="B18" s="913" t="str">
        <f>IF(A18="Sin Recaudo","Sin Recaudo",IF(A18="No Aplica","No Aplica",IF(A18='LISTAS PPTO'!AO4,'LISTAS PPTO'!AP4,'LISTAS PPTO'!AQ4)))</f>
        <v>INGRESOS</v>
      </c>
      <c r="C18" s="2206">
        <v>10000000000</v>
      </c>
      <c r="D18" s="914">
        <f>IF(C18="","",C18/$C$18)</f>
        <v>1</v>
      </c>
      <c r="E18" s="2206">
        <v>12000000000</v>
      </c>
      <c r="F18" s="914">
        <f>IF(E18="","",E18/$E$18)</f>
        <v>1</v>
      </c>
      <c r="G18" s="915">
        <f>IF(AND(C18="",E18=""),"",E18-C18)</f>
        <v>2000000000</v>
      </c>
      <c r="H18" s="914">
        <f>IF(E18="",G18/C18,G18/E18)</f>
        <v>0.16666666666666666</v>
      </c>
      <c r="I18" s="2209"/>
      <c r="J18" s="2206">
        <v>12000000000</v>
      </c>
      <c r="K18" s="2206"/>
      <c r="L18" s="2206"/>
      <c r="M18" s="915">
        <f>IF(J18="","",J18-K18+L18)</f>
        <v>12000000000</v>
      </c>
      <c r="N18" s="2206">
        <v>12000000000</v>
      </c>
      <c r="O18" s="1703">
        <f>IF(OR(E18="",N18=""),"",N18/E18)</f>
        <v>1</v>
      </c>
      <c r="P18" s="1703"/>
      <c r="Q18" s="1703"/>
      <c r="R18" s="1115" t="s">
        <v>487</v>
      </c>
      <c r="S18" s="2211"/>
      <c r="AT18" s="775" t="str">
        <f t="shared" ref="AT18:AT44" si="0">CONCATENATE(A18,"-",B18)</f>
        <v>41-INGRESOS</v>
      </c>
    </row>
    <row r="19" spans="1:46" s="781" customFormat="1" ht="15" x14ac:dyDescent="0.25">
      <c r="A19" s="912">
        <f>IF(VLOOKUP($B$8,'LISTAS PPTO'!$F$3:$I$100,4)="X","Sin Recaudo",IF(OR(VLOOKUP($B$8,'LISTAS PPTO'!$F$3:$G$100,2)="Empresa Industrial y Comercial",VLOOKUP($B$8,'LISTAS PPTO'!$F$3:$G$100,2)="Subred"),'LISTAS PPTO'!AO5,IF(OR(VLOOKUP($B$8,'LISTAS PPTO'!$F$3:$G$100,2)="Mixta",VLOOKUP($B$8,'LISTAS PPTO'!$F$3:$G$100,2)="Menor 50%"),"No Aplica",'LISTAS PPTO'!AO5)))</f>
        <v>410</v>
      </c>
      <c r="B19" s="913" t="str">
        <f>IF(A19="Sin Recaudo","Sin Recaudo",IF(A19="No Aplica","No Aplica",IF(A19='LISTAS PPTO'!AO5,'LISTAS PPTO'!AP5,'LISTAS PPTO'!AQ5)))</f>
        <v>DISPONIBILIDAD INICIAL</v>
      </c>
      <c r="C19" s="2206">
        <v>2000000</v>
      </c>
      <c r="D19" s="914">
        <f t="shared" ref="D19:D43" si="1">IF(C19="","",C19/$C$18)</f>
        <v>2.0000000000000001E-4</v>
      </c>
      <c r="E19" s="2206">
        <v>200000</v>
      </c>
      <c r="F19" s="914">
        <f t="shared" ref="F19:F43" si="2">IF(E19="","",E19/$E$18)</f>
        <v>1.6666666666666667E-5</v>
      </c>
      <c r="G19" s="915">
        <f t="shared" ref="G19:G43" si="3">IF(AND(C19="",E19=""),"",E19-C19)</f>
        <v>-1800000</v>
      </c>
      <c r="H19" s="914">
        <f t="shared" ref="H19:H43" si="4">IF(E19="",G19/C19,G19/E19)</f>
        <v>-9</v>
      </c>
      <c r="I19" s="2209"/>
      <c r="J19" s="2206">
        <v>200000</v>
      </c>
      <c r="K19" s="2206"/>
      <c r="L19" s="2206"/>
      <c r="M19" s="915">
        <f t="shared" ref="M19:M43" si="5">IF(J19="","",J19-K19+L19)</f>
        <v>200000</v>
      </c>
      <c r="N19" s="2206">
        <v>200000</v>
      </c>
      <c r="O19" s="1703">
        <f t="shared" ref="O19:O44" si="6">IF(OR(E19="",N19=""),"",N19/E19)</f>
        <v>1</v>
      </c>
      <c r="P19" s="1703"/>
      <c r="Q19" s="1703"/>
      <c r="R19" s="1115"/>
      <c r="S19" s="2211"/>
      <c r="AT19" s="775" t="str">
        <f t="shared" si="0"/>
        <v>410-DISPONIBILIDAD INICIAL</v>
      </c>
    </row>
    <row r="20" spans="1:46" ht="15" x14ac:dyDescent="0.25">
      <c r="A20" s="917">
        <f>IF(VLOOKUP($B$8,'LISTAS PPTO'!$F$3:$I$100,4)="X","Sin Recaudo",IF(OR(VLOOKUP($B$8,'LISTAS PPTO'!$F$3:$G$100,2)="Empresa Industrial y Comercial",VLOOKUP($B$8,'LISTAS PPTO'!$F$3:$G$100,2)="Subred"),'LISTAS PPTO'!AO6,IF(OR(VLOOKUP($B$8,'LISTAS PPTO'!$F$3:$G$100,2)="Mixta",VLOOKUP($B$8,'LISTAS PPTO'!$F$3:$G$100,2)="Menor 50%"),"No Aplica",'LISTAS PPTO'!AO6)))</f>
        <v>41002</v>
      </c>
      <c r="B20" s="317" t="str">
        <f>IF(A20="Sin Recaudo","Sin Recaudo",IF(A20="No Aplica","No Aplica",IF(A20='LISTAS PPTO'!AO6,'LISTAS PPTO'!AP6,'LISTAS PPTO'!AQ6)))</f>
        <v>Bancos</v>
      </c>
      <c r="C20" s="2207">
        <v>3000000</v>
      </c>
      <c r="D20" s="918">
        <f t="shared" si="1"/>
        <v>2.9999999999999997E-4</v>
      </c>
      <c r="E20" s="2207">
        <v>5000000</v>
      </c>
      <c r="F20" s="918">
        <f t="shared" si="2"/>
        <v>4.1666666666666669E-4</v>
      </c>
      <c r="G20" s="919">
        <f t="shared" si="3"/>
        <v>2000000</v>
      </c>
      <c r="H20" s="918">
        <f t="shared" si="4"/>
        <v>0.4</v>
      </c>
      <c r="I20" s="2210"/>
      <c r="J20" s="2207">
        <v>5000000</v>
      </c>
      <c r="K20" s="2207"/>
      <c r="L20" s="2207"/>
      <c r="M20" s="919">
        <f t="shared" si="5"/>
        <v>5000000</v>
      </c>
      <c r="N20" s="2207">
        <v>5000000</v>
      </c>
      <c r="O20" s="1704">
        <f t="shared" si="6"/>
        <v>1</v>
      </c>
      <c r="P20" s="1704"/>
      <c r="Q20" s="1704"/>
      <c r="R20" s="1115"/>
      <c r="S20" s="2212"/>
      <c r="AT20" s="296" t="str">
        <f t="shared" si="0"/>
        <v>41002-Bancos</v>
      </c>
    </row>
    <row r="21" spans="1:46" ht="15" x14ac:dyDescent="0.25">
      <c r="A21" s="917">
        <f>IF(VLOOKUP($B$8,'LISTAS PPTO'!$F$3:$I$100,4)="X","Sin Recaudo",IF(OR(VLOOKUP($B$8,'LISTAS PPTO'!$F$3:$G$100,2)="Empresa Industrial y Comercial",VLOOKUP($B$8,'LISTAS PPTO'!$F$3:$G$100,2)="Subred"),'LISTAS PPTO'!AO7,IF(OR(VLOOKUP($B$8,'LISTAS PPTO'!$F$3:$G$100,2)="Mixta",VLOOKUP($B$8,'LISTAS PPTO'!$F$3:$G$100,2)="Menor 50%"),"No Aplica",'LISTAS PPTO'!AO7)))</f>
        <v>41003</v>
      </c>
      <c r="B21" s="317" t="str">
        <f>IF(A21="Sin Recaudo","Sin Recaudo",IF(A21="No Aplica","No Aplica",IF(A21='LISTAS PPTO'!AO7,'LISTAS PPTO'!AP7,'LISTAS PPTO'!AQ7)))</f>
        <v>Inversiones Temporales</v>
      </c>
      <c r="C21" s="2207">
        <v>120000</v>
      </c>
      <c r="D21" s="918">
        <f t="shared" si="1"/>
        <v>1.2E-5</v>
      </c>
      <c r="E21" s="2207">
        <v>120000</v>
      </c>
      <c r="F21" s="918">
        <f t="shared" si="2"/>
        <v>1.0000000000000001E-5</v>
      </c>
      <c r="G21" s="919">
        <f t="shared" si="3"/>
        <v>0</v>
      </c>
      <c r="H21" s="918">
        <f t="shared" si="4"/>
        <v>0</v>
      </c>
      <c r="I21" s="2210"/>
      <c r="J21" s="2207">
        <v>120000</v>
      </c>
      <c r="K21" s="2207"/>
      <c r="L21" s="2207"/>
      <c r="M21" s="919">
        <f t="shared" si="5"/>
        <v>120000</v>
      </c>
      <c r="N21" s="2207">
        <v>120000</v>
      </c>
      <c r="O21" s="1704">
        <f t="shared" si="6"/>
        <v>1</v>
      </c>
      <c r="P21" s="1704"/>
      <c r="Q21" s="1704"/>
      <c r="R21" s="1115" t="s">
        <v>1741</v>
      </c>
      <c r="S21" s="2212"/>
      <c r="AT21" s="296" t="str">
        <f t="shared" si="0"/>
        <v>41003-Inversiones Temporales</v>
      </c>
    </row>
    <row r="22" spans="1:46" s="781" customFormat="1" ht="15" x14ac:dyDescent="0.25">
      <c r="A22" s="912">
        <f>IF(VLOOKUP($B$8,'LISTAS PPTO'!$F$3:$I$100,4)="X","Sin Recaudo",IF(OR(VLOOKUP($B$8,'LISTAS PPTO'!$F$3:$G$100,2)="Empresa Industrial y Comercial",VLOOKUP($B$8,'LISTAS PPTO'!$F$3:$G$100,2)="Subred"),'LISTAS PPTO'!AO8,IF(OR(VLOOKUP($B$8,'LISTAS PPTO'!$F$3:$G$100,2)="Mixta",VLOOKUP($B$8,'LISTAS PPTO'!$F$3:$G$100,2)="Menor 50%"),"No Aplica",'LISTAS PPTO'!AO8)))</f>
        <v>411</v>
      </c>
      <c r="B22" s="913" t="str">
        <f>IF(A22="Sin Recaudo","Sin Recaudo",IF(A22="No Aplica","No Aplica",IF(A22='LISTAS PPTO'!AO8,'LISTAS PPTO'!AP8,'LISTAS PPTO'!AQ8)))</f>
        <v>INGRESOS CORRIENTES</v>
      </c>
      <c r="C22" s="2206">
        <v>2000000</v>
      </c>
      <c r="D22" s="914">
        <f t="shared" si="1"/>
        <v>2.0000000000000001E-4</v>
      </c>
      <c r="E22" s="2206">
        <v>2000000</v>
      </c>
      <c r="F22" s="914">
        <f t="shared" si="2"/>
        <v>1.6666666666666666E-4</v>
      </c>
      <c r="G22" s="915">
        <f t="shared" si="3"/>
        <v>0</v>
      </c>
      <c r="H22" s="914">
        <f t="shared" si="4"/>
        <v>0</v>
      </c>
      <c r="I22" s="2209"/>
      <c r="J22" s="2206">
        <v>2000000</v>
      </c>
      <c r="K22" s="2206"/>
      <c r="L22" s="2206"/>
      <c r="M22" s="915">
        <f t="shared" si="5"/>
        <v>2000000</v>
      </c>
      <c r="N22" s="2206">
        <v>2000000</v>
      </c>
      <c r="O22" s="1703">
        <f t="shared" si="6"/>
        <v>1</v>
      </c>
      <c r="P22" s="1703"/>
      <c r="Q22" s="1703"/>
      <c r="R22" s="1115"/>
      <c r="S22" s="2211"/>
      <c r="AT22" s="775" t="str">
        <f t="shared" si="0"/>
        <v>411-INGRESOS CORRIENTES</v>
      </c>
    </row>
    <row r="23" spans="1:46" ht="15" x14ac:dyDescent="0.25">
      <c r="A23" s="917">
        <f>IF(VLOOKUP($B$8,'LISTAS PPTO'!$F$3:$I$100,4)="X","Sin Recaudo",IF(OR(VLOOKUP($B$8,'LISTAS PPTO'!$F$3:$G$100,2)="Empresa Industrial y Comercial",VLOOKUP($B$8,'LISTAS PPTO'!$F$3:$G$100,2)="Subred"),'LISTAS PPTO'!AO9,IF(OR(VLOOKUP($B$8,'LISTAS PPTO'!$F$3:$G$100,2)="Mixta",VLOOKUP($B$8,'LISTAS PPTO'!$F$3:$G$100,2)="Menor 50%"),"No Aplica",'LISTAS PPTO'!AO9)))</f>
        <v>41101</v>
      </c>
      <c r="B23" s="317" t="str">
        <f>IF(A23="Sin Recaudo","Sin Recaudo",IF(A23="No Aplica","No Aplica",IF(A23='LISTAS PPTO'!AO9,'LISTAS PPTO'!AP9,'LISTAS PPTO'!AQ9)))</f>
        <v>Tributarios</v>
      </c>
      <c r="C23" s="2207">
        <v>1200000</v>
      </c>
      <c r="D23" s="918">
        <f t="shared" si="1"/>
        <v>1.2E-4</v>
      </c>
      <c r="E23" s="2207">
        <v>12000</v>
      </c>
      <c r="F23" s="918">
        <f t="shared" si="2"/>
        <v>9.9999999999999995E-7</v>
      </c>
      <c r="G23" s="919">
        <f t="shared" si="3"/>
        <v>-1188000</v>
      </c>
      <c r="H23" s="918">
        <f t="shared" si="4"/>
        <v>-99</v>
      </c>
      <c r="I23" s="2210"/>
      <c r="J23" s="2207">
        <v>12000</v>
      </c>
      <c r="K23" s="2207"/>
      <c r="L23" s="2207"/>
      <c r="M23" s="919">
        <f t="shared" si="5"/>
        <v>12000</v>
      </c>
      <c r="N23" s="2207">
        <v>12000</v>
      </c>
      <c r="O23" s="1704">
        <f t="shared" si="6"/>
        <v>1</v>
      </c>
      <c r="P23" s="1704"/>
      <c r="Q23" s="1704"/>
      <c r="R23" s="1115"/>
      <c r="S23" s="2212"/>
      <c r="AT23" s="296" t="str">
        <f t="shared" si="0"/>
        <v>41101-Tributarios</v>
      </c>
    </row>
    <row r="24" spans="1:46" ht="15" x14ac:dyDescent="0.25">
      <c r="A24" s="917">
        <f>IF(VLOOKUP($B$8,'LISTAS PPTO'!$F$3:$I$100,4)="X","Sin Recaudo",IF(OR(VLOOKUP($B$8,'LISTAS PPTO'!$F$3:$G$100,2)="Empresa Industrial y Comercial",VLOOKUP($B$8,'LISTAS PPTO'!$F$3:$G$100,2)="Subred"),'LISTAS PPTO'!AO10,IF(OR(VLOOKUP($B$8,'LISTAS PPTO'!$F$3:$G$100,2)="Mixta",VLOOKUP($B$8,'LISTAS PPTO'!$F$3:$G$100,2)="Menor 50%"),"No Aplica",'LISTAS PPTO'!AO10)))</f>
        <v>41102</v>
      </c>
      <c r="B24" s="317" t="str">
        <f>IF(A24="Sin Recaudo","Sin Recaudo",IF(A24="No Aplica","No Aplica",IF(A24='LISTAS PPTO'!AO10,'LISTAS PPTO'!AP10,'LISTAS PPTO'!AQ10)))</f>
        <v>No Tributarios</v>
      </c>
      <c r="C24" s="2207">
        <v>1200000</v>
      </c>
      <c r="D24" s="918">
        <f t="shared" si="1"/>
        <v>1.2E-4</v>
      </c>
      <c r="E24" s="2207">
        <v>12000</v>
      </c>
      <c r="F24" s="918">
        <f t="shared" si="2"/>
        <v>9.9999999999999995E-7</v>
      </c>
      <c r="G24" s="919">
        <f t="shared" si="3"/>
        <v>-1188000</v>
      </c>
      <c r="H24" s="918">
        <f t="shared" si="4"/>
        <v>-99</v>
      </c>
      <c r="I24" s="2210"/>
      <c r="J24" s="2207">
        <v>12000</v>
      </c>
      <c r="K24" s="2207"/>
      <c r="L24" s="2207"/>
      <c r="M24" s="919">
        <f t="shared" si="5"/>
        <v>12000</v>
      </c>
      <c r="N24" s="2207">
        <v>12000</v>
      </c>
      <c r="O24" s="1704">
        <f t="shared" si="6"/>
        <v>1</v>
      </c>
      <c r="P24" s="1704"/>
      <c r="Q24" s="1704"/>
      <c r="R24" s="1115"/>
      <c r="S24" s="2212"/>
      <c r="AT24" s="296" t="str">
        <f t="shared" si="0"/>
        <v>41102-No Tributarios</v>
      </c>
    </row>
    <row r="25" spans="1:46" s="781" customFormat="1" ht="15" x14ac:dyDescent="0.25">
      <c r="A25" s="912">
        <f>IF(VLOOKUP($B$8,'LISTAS PPTO'!$F$3:$I$100,4)="X","Sin Recaudo",IF(OR(VLOOKUP($B$8,'LISTAS PPTO'!$F$3:$G$100,2)="Empresa Industrial y Comercial",VLOOKUP($B$8,'LISTAS PPTO'!$F$3:$G$100,2)="Subred"),'LISTAS PPTO'!AO11,IF(OR(VLOOKUP($B$8,'LISTAS PPTO'!$F$3:$G$100,2)="Mixta",VLOOKUP($B$8,'LISTAS PPTO'!$F$3:$G$100,2)="Menor 50%"),"No Aplica",'LISTAS PPTO'!AO11)))</f>
        <v>412</v>
      </c>
      <c r="B25" s="913" t="str">
        <f>IF(A25="Sin Recaudo","Sin Recaudo",IF(A25="No Aplica","No Aplica",IF(A25='LISTAS PPTO'!AO11,'LISTAS PPTO'!AP11,'LISTAS PPTO'!AQ11)))</f>
        <v>RECURSOS DE CAPITAL</v>
      </c>
      <c r="C25" s="2206">
        <v>1200000</v>
      </c>
      <c r="D25" s="914">
        <f t="shared" si="1"/>
        <v>1.2E-4</v>
      </c>
      <c r="E25" s="2206">
        <v>12000</v>
      </c>
      <c r="F25" s="914">
        <f t="shared" si="2"/>
        <v>9.9999999999999995E-7</v>
      </c>
      <c r="G25" s="915">
        <f t="shared" si="3"/>
        <v>-1188000</v>
      </c>
      <c r="H25" s="914">
        <f t="shared" si="4"/>
        <v>-99</v>
      </c>
      <c r="I25" s="2209"/>
      <c r="J25" s="2206">
        <v>12000</v>
      </c>
      <c r="K25" s="2206"/>
      <c r="L25" s="2206"/>
      <c r="M25" s="915">
        <f t="shared" si="5"/>
        <v>12000</v>
      </c>
      <c r="N25" s="2206">
        <v>12000</v>
      </c>
      <c r="O25" s="1703">
        <f t="shared" si="6"/>
        <v>1</v>
      </c>
      <c r="P25" s="1703"/>
      <c r="Q25" s="1703"/>
      <c r="R25" s="1115"/>
      <c r="S25" s="2211"/>
      <c r="AT25" s="775" t="str">
        <f t="shared" si="0"/>
        <v>412-RECURSOS DE CAPITAL</v>
      </c>
    </row>
    <row r="26" spans="1:46" ht="15" x14ac:dyDescent="0.25">
      <c r="A26" s="917">
        <f>IF(VLOOKUP($B$8,'LISTAS PPTO'!$F$3:$I$100,4)="X","Sin Recaudo",IF(OR(VLOOKUP($B$8,'LISTAS PPTO'!$F$3:$G$100,2)="Empresa Industrial y Comercial",VLOOKUP($B$8,'LISTAS PPTO'!$F$3:$G$100,2)="Subred"),'LISTAS PPTO'!AO12,IF(OR(VLOOKUP($B$8,'LISTAS PPTO'!$F$3:$G$100,2)="Mixta",VLOOKUP($B$8,'LISTAS PPTO'!$F$3:$G$100,2)="Menor 50%"),"No Aplica",'LISTAS PPTO'!AO12)))</f>
        <v>41201</v>
      </c>
      <c r="B26" s="317" t="str">
        <f>IF(A26="Sin Recaudo","Sin Recaudo",IF(A26="No Aplica","No Aplica",IF(A26='LISTAS PPTO'!AO12,'LISTAS PPTO'!AP12,'LISTAS PPTO'!AQ12)))</f>
        <v>Disposición de activos</v>
      </c>
      <c r="C26" s="2207">
        <v>1200000</v>
      </c>
      <c r="D26" s="918">
        <f t="shared" si="1"/>
        <v>1.2E-4</v>
      </c>
      <c r="E26" s="2207">
        <v>14000</v>
      </c>
      <c r="F26" s="918">
        <f t="shared" si="2"/>
        <v>1.1666666666666666E-6</v>
      </c>
      <c r="G26" s="919">
        <f t="shared" si="3"/>
        <v>-1186000</v>
      </c>
      <c r="H26" s="918">
        <f t="shared" si="4"/>
        <v>-84.714285714285708</v>
      </c>
      <c r="I26" s="2210"/>
      <c r="J26" s="2207">
        <v>14000</v>
      </c>
      <c r="K26" s="2207"/>
      <c r="L26" s="2207"/>
      <c r="M26" s="919">
        <f t="shared" si="5"/>
        <v>14000</v>
      </c>
      <c r="N26" s="2207">
        <v>14000</v>
      </c>
      <c r="O26" s="1704">
        <f t="shared" si="6"/>
        <v>1</v>
      </c>
      <c r="P26" s="1704"/>
      <c r="Q26" s="1704"/>
      <c r="R26" s="1115"/>
      <c r="S26" s="2212"/>
      <c r="AT26" s="296" t="str">
        <f t="shared" si="0"/>
        <v>41201-Disposición de activos</v>
      </c>
    </row>
    <row r="27" spans="1:46" ht="15" x14ac:dyDescent="0.25">
      <c r="A27" s="917">
        <f>IF(VLOOKUP($B$8,'LISTAS PPTO'!$F$3:$I$100,4)="X","Sin Recaudo",IF(OR(VLOOKUP($B$8,'LISTAS PPTO'!$F$3:$G$100,2)="Empresa Industrial y Comercial",VLOOKUP($B$8,'LISTAS PPTO'!$F$3:$G$100,2)="Subred"),'LISTAS PPTO'!AO13,IF(OR(VLOOKUP($B$8,'LISTAS PPTO'!$F$3:$G$100,2)="Mixta",VLOOKUP($B$8,'LISTAS PPTO'!$F$3:$G$100,2)="Menor 50%"),"No Aplica",'LISTAS PPTO'!AO13)))</f>
        <v>41202</v>
      </c>
      <c r="B27" s="317" t="str">
        <f>IF(A27="Sin Recaudo","Sin Recaudo",IF(A27="No Aplica","No Aplica",IF(A27='LISTAS PPTO'!AO13,'LISTAS PPTO'!AP13,'LISTAS PPTO'!AQ13)))</f>
        <v>Excedentes financieros</v>
      </c>
      <c r="C27" s="2207">
        <v>1200000</v>
      </c>
      <c r="D27" s="918">
        <f t="shared" si="1"/>
        <v>1.2E-4</v>
      </c>
      <c r="E27" s="2207">
        <v>14000</v>
      </c>
      <c r="F27" s="918">
        <f t="shared" si="2"/>
        <v>1.1666666666666666E-6</v>
      </c>
      <c r="G27" s="919">
        <f t="shared" si="3"/>
        <v>-1186000</v>
      </c>
      <c r="H27" s="918">
        <f t="shared" si="4"/>
        <v>-84.714285714285708</v>
      </c>
      <c r="I27" s="2210"/>
      <c r="J27" s="2207">
        <v>14000</v>
      </c>
      <c r="K27" s="2207"/>
      <c r="L27" s="2207"/>
      <c r="M27" s="919">
        <f t="shared" si="5"/>
        <v>14000</v>
      </c>
      <c r="N27" s="2207">
        <v>14000</v>
      </c>
      <c r="O27" s="1704">
        <f t="shared" si="6"/>
        <v>1</v>
      </c>
      <c r="P27" s="1704"/>
      <c r="Q27" s="1704"/>
      <c r="R27" s="1115"/>
      <c r="S27" s="2212"/>
      <c r="AT27" s="296" t="str">
        <f t="shared" si="0"/>
        <v>41202-Excedentes financieros</v>
      </c>
    </row>
    <row r="28" spans="1:46" ht="13.5" customHeight="1" x14ac:dyDescent="0.25">
      <c r="A28" s="917">
        <f>IF(VLOOKUP($B$8,'LISTAS PPTO'!$F$3:$I$100,4)="X","Sin Recaudo",IF(OR(VLOOKUP($B$8,'LISTAS PPTO'!$F$3:$G$100,2)="Empresa Industrial y Comercial",VLOOKUP($B$8,'LISTAS PPTO'!$F$3:$G$100,2)="Subred"),'LISTAS PPTO'!AO14,IF(OR(VLOOKUP($B$8,'LISTAS PPTO'!$F$3:$G$100,2)="Mixta",VLOOKUP($B$8,'LISTAS PPTO'!$F$3:$G$100,2)="Menor 50%"),"No Aplica",'LISTAS PPTO'!AO14)))</f>
        <v>41203</v>
      </c>
      <c r="B28" s="317" t="str">
        <f>IF(A28="Sin Recaudo","Sin Recaudo",IF(A28="No Aplica","No Aplica",IF(A28='LISTAS PPTO'!AO14,'LISTAS PPTO'!AP14,'LISTAS PPTO'!AQ14)))</f>
        <v>Dividendos y utilidades por otras Inversiones de CAPITAL</v>
      </c>
      <c r="C28" s="2207">
        <v>1200000</v>
      </c>
      <c r="D28" s="918">
        <f t="shared" si="1"/>
        <v>1.2E-4</v>
      </c>
      <c r="E28" s="2207">
        <v>14000</v>
      </c>
      <c r="F28" s="918">
        <f t="shared" si="2"/>
        <v>1.1666666666666666E-6</v>
      </c>
      <c r="G28" s="919">
        <f t="shared" si="3"/>
        <v>-1186000</v>
      </c>
      <c r="H28" s="918">
        <f t="shared" si="4"/>
        <v>-84.714285714285708</v>
      </c>
      <c r="I28" s="2210"/>
      <c r="J28" s="2207">
        <v>14000</v>
      </c>
      <c r="K28" s="2207"/>
      <c r="L28" s="2207"/>
      <c r="M28" s="919">
        <f t="shared" si="5"/>
        <v>14000</v>
      </c>
      <c r="N28" s="2207">
        <v>14000</v>
      </c>
      <c r="O28" s="1704">
        <f t="shared" si="6"/>
        <v>1</v>
      </c>
      <c r="P28" s="1704"/>
      <c r="Q28" s="1704"/>
      <c r="R28" s="1115"/>
      <c r="S28" s="2212"/>
      <c r="AT28" s="296" t="str">
        <f t="shared" si="0"/>
        <v>41203-Dividendos y utilidades por otras Inversiones de CAPITAL</v>
      </c>
    </row>
    <row r="29" spans="1:46" ht="15" x14ac:dyDescent="0.25">
      <c r="A29" s="917">
        <f>IF(VLOOKUP($B$8,'LISTAS PPTO'!$F$3:$I$100,4)="X","Sin Recaudo",IF(OR(VLOOKUP($B$8,'LISTAS PPTO'!$F$3:$G$100,2)="Empresa Industrial y Comercial",VLOOKUP($B$8,'LISTAS PPTO'!$F$3:$G$100,2)="Subred"),'LISTAS PPTO'!AO15,IF(OR(VLOOKUP($B$8,'LISTAS PPTO'!$F$3:$G$100,2)="Mixta",VLOOKUP($B$8,'LISTAS PPTO'!$F$3:$G$100,2)="Menor 50%"),"No Aplica",'LISTAS PPTO'!AO15)))</f>
        <v>41205</v>
      </c>
      <c r="B29" s="317" t="str">
        <f>IF(A29="Sin Recaudo","Sin Recaudo",IF(A29="No Aplica","No Aplica",IF(A29='LISTAS PPTO'!AO15,'LISTAS PPTO'!AP15,'LISTAS PPTO'!AQ15)))</f>
        <v>Rendimientos financieros</v>
      </c>
      <c r="C29" s="2207">
        <v>1200000</v>
      </c>
      <c r="D29" s="918">
        <f t="shared" si="1"/>
        <v>1.2E-4</v>
      </c>
      <c r="E29" s="2207">
        <v>14000</v>
      </c>
      <c r="F29" s="918">
        <f t="shared" si="2"/>
        <v>1.1666666666666666E-6</v>
      </c>
      <c r="G29" s="919">
        <f t="shared" si="3"/>
        <v>-1186000</v>
      </c>
      <c r="H29" s="918">
        <f t="shared" si="4"/>
        <v>-84.714285714285708</v>
      </c>
      <c r="I29" s="2210"/>
      <c r="J29" s="2207">
        <v>14000</v>
      </c>
      <c r="K29" s="2207"/>
      <c r="L29" s="2207"/>
      <c r="M29" s="919">
        <f t="shared" si="5"/>
        <v>14000</v>
      </c>
      <c r="N29" s="2207">
        <v>14000</v>
      </c>
      <c r="O29" s="1704">
        <f t="shared" si="6"/>
        <v>1</v>
      </c>
      <c r="P29" s="1704"/>
      <c r="Q29" s="1704"/>
      <c r="R29" s="1115"/>
      <c r="S29" s="2212"/>
      <c r="AT29" s="296" t="str">
        <f t="shared" si="0"/>
        <v>41205-Rendimientos financieros</v>
      </c>
    </row>
    <row r="30" spans="1:46" ht="15" x14ac:dyDescent="0.25">
      <c r="A30" s="917">
        <f>IF(VLOOKUP($B$8,'LISTAS PPTO'!$F$3:$I$100,4)="X","Sin Recaudo",IF(OR(VLOOKUP($B$8,'LISTAS PPTO'!$F$3:$G$100,2)="Empresa Industrial y Comercial",VLOOKUP($B$8,'LISTAS PPTO'!$F$3:$G$100,2)="Subred"),'LISTAS PPTO'!AO16,IF(OR(VLOOKUP($B$8,'LISTAS PPTO'!$F$3:$G$100,2)="Mixta",VLOOKUP($B$8,'LISTAS PPTO'!$F$3:$G$100,2)="Menor 50%"),"No Aplica",'LISTAS PPTO'!AO16)))</f>
        <v>41206</v>
      </c>
      <c r="B30" s="317" t="str">
        <f>IF(A30="Sin Recaudo","Sin Recaudo",IF(A30="No Aplica","No Aplica",IF(A30='LISTAS PPTO'!AO16,'LISTAS PPTO'!AP16,'LISTAS PPTO'!AQ16)))</f>
        <v>RECURSOS de crédito externo</v>
      </c>
      <c r="C30" s="2207">
        <v>1200000</v>
      </c>
      <c r="D30" s="918">
        <f t="shared" si="1"/>
        <v>1.2E-4</v>
      </c>
      <c r="E30" s="2207">
        <v>14000</v>
      </c>
      <c r="F30" s="918">
        <f t="shared" si="2"/>
        <v>1.1666666666666666E-6</v>
      </c>
      <c r="G30" s="919">
        <f t="shared" si="3"/>
        <v>-1186000</v>
      </c>
      <c r="H30" s="918">
        <f t="shared" si="4"/>
        <v>-84.714285714285708</v>
      </c>
      <c r="I30" s="2210"/>
      <c r="J30" s="2207">
        <v>14000</v>
      </c>
      <c r="K30" s="2207"/>
      <c r="L30" s="2207"/>
      <c r="M30" s="919">
        <f t="shared" si="5"/>
        <v>14000</v>
      </c>
      <c r="N30" s="2207">
        <v>14000</v>
      </c>
      <c r="O30" s="1704">
        <f t="shared" si="6"/>
        <v>1</v>
      </c>
      <c r="P30" s="1704"/>
      <c r="Q30" s="1704"/>
      <c r="R30" s="1115"/>
      <c r="S30" s="2212"/>
      <c r="AT30" s="296" t="str">
        <f t="shared" si="0"/>
        <v>41206-RECURSOS de crédito externo</v>
      </c>
    </row>
    <row r="31" spans="1:46" ht="15" x14ac:dyDescent="0.25">
      <c r="A31" s="917">
        <f>IF(VLOOKUP($B$8,'LISTAS PPTO'!$F$3:$I$100,4)="X","Sin Recaudo",IF(OR(VLOOKUP($B$8,'LISTAS PPTO'!$F$3:$G$100,2)="Empresa Industrial y Comercial",VLOOKUP($B$8,'LISTAS PPTO'!$F$3:$G$100,2)="Subred"),'LISTAS PPTO'!AO17,IF(OR(VLOOKUP($B$8,'LISTAS PPTO'!$F$3:$G$100,2)="Mixta",VLOOKUP($B$8,'LISTAS PPTO'!$F$3:$G$100,2)="Menor 50%"),"No Aplica",'LISTAS PPTO'!AO17)))</f>
        <v>41207</v>
      </c>
      <c r="B31" s="317" t="str">
        <f>IF(A31="Sin Recaudo","Sin Recaudo",IF(A31="No Aplica","No Aplica",IF(A31='LISTAS PPTO'!AO17,'LISTAS PPTO'!AP17,'LISTAS PPTO'!AQ17)))</f>
        <v>RECURSOS de crédito interno</v>
      </c>
      <c r="C31" s="2207">
        <v>1200000</v>
      </c>
      <c r="D31" s="918">
        <f t="shared" si="1"/>
        <v>1.2E-4</v>
      </c>
      <c r="E31" s="2207">
        <v>14000</v>
      </c>
      <c r="F31" s="918">
        <f t="shared" si="2"/>
        <v>1.1666666666666666E-6</v>
      </c>
      <c r="G31" s="919">
        <f t="shared" si="3"/>
        <v>-1186000</v>
      </c>
      <c r="H31" s="918">
        <f t="shared" si="4"/>
        <v>-84.714285714285708</v>
      </c>
      <c r="I31" s="2210"/>
      <c r="J31" s="2207">
        <v>14000</v>
      </c>
      <c r="K31" s="2207"/>
      <c r="L31" s="2207"/>
      <c r="M31" s="919">
        <f t="shared" si="5"/>
        <v>14000</v>
      </c>
      <c r="N31" s="2207">
        <v>14000</v>
      </c>
      <c r="O31" s="1704">
        <f t="shared" si="6"/>
        <v>1</v>
      </c>
      <c r="P31" s="1704"/>
      <c r="Q31" s="1704"/>
      <c r="R31" s="1115"/>
      <c r="S31" s="2212"/>
      <c r="AT31" s="296" t="str">
        <f t="shared" si="0"/>
        <v>41207-RECURSOS de crédito interno</v>
      </c>
    </row>
    <row r="32" spans="1:46" ht="15" x14ac:dyDescent="0.25">
      <c r="A32" s="917">
        <f>IF(VLOOKUP($B$8,'LISTAS PPTO'!$F$3:$I$100,4)="X","Sin Recaudo",IF(OR(VLOOKUP($B$8,'LISTAS PPTO'!$F$3:$G$100,2)="Empresa Industrial y Comercial",VLOOKUP($B$8,'LISTAS PPTO'!$F$3:$G$100,2)="Subred"),'LISTAS PPTO'!AO18,IF(OR(VLOOKUP($B$8,'LISTAS PPTO'!$F$3:$G$100,2)="Mixta",VLOOKUP($B$8,'LISTAS PPTO'!$F$3:$G$100,2)="Menor 50%"),"No Aplica",'LISTAS PPTO'!AO18)))</f>
        <v>41208</v>
      </c>
      <c r="B32" s="317" t="str">
        <f>IF(A32="Sin Recaudo","Sin Recaudo",IF(A32="No Aplica","No Aplica",IF(A32='LISTAS PPTO'!AO18,'LISTAS PPTO'!AP18,'LISTAS PPTO'!AQ18)))</f>
        <v>Transferencias de CAPITAL</v>
      </c>
      <c r="C32" s="2207">
        <v>1200000</v>
      </c>
      <c r="D32" s="918">
        <f t="shared" si="1"/>
        <v>1.2E-4</v>
      </c>
      <c r="E32" s="2207">
        <v>14000</v>
      </c>
      <c r="F32" s="918">
        <f t="shared" si="2"/>
        <v>1.1666666666666666E-6</v>
      </c>
      <c r="G32" s="919">
        <f t="shared" si="3"/>
        <v>-1186000</v>
      </c>
      <c r="H32" s="918">
        <f t="shared" si="4"/>
        <v>-84.714285714285708</v>
      </c>
      <c r="I32" s="2210"/>
      <c r="J32" s="2207">
        <v>14000</v>
      </c>
      <c r="K32" s="2207"/>
      <c r="L32" s="2207"/>
      <c r="M32" s="919">
        <f t="shared" si="5"/>
        <v>14000</v>
      </c>
      <c r="N32" s="2207">
        <v>14000</v>
      </c>
      <c r="O32" s="1704">
        <f t="shared" si="6"/>
        <v>1</v>
      </c>
      <c r="P32" s="1704"/>
      <c r="Q32" s="1704"/>
      <c r="R32" s="1115"/>
      <c r="S32" s="2212"/>
      <c r="AT32" s="296" t="str">
        <f t="shared" si="0"/>
        <v>41208-Transferencias de CAPITAL</v>
      </c>
    </row>
    <row r="33" spans="1:46" ht="15" x14ac:dyDescent="0.25">
      <c r="A33" s="917">
        <f>IF(VLOOKUP($B$8,'LISTAS PPTO'!$F$3:$I$100,4)="X","Sin Recaudo",IF(OR(VLOOKUP($B$8,'LISTAS PPTO'!$F$3:$G$100,2)="Empresa Industrial y Comercial",VLOOKUP($B$8,'LISTAS PPTO'!$F$3:$G$100,2)="Subred"),'LISTAS PPTO'!AO19,IF(OR(VLOOKUP($B$8,'LISTAS PPTO'!$F$3:$G$100,2)="Mixta",VLOOKUP($B$8,'LISTAS PPTO'!$F$3:$G$100,2)="Menor 50%"),"No Aplica",'LISTAS PPTO'!AO19)))</f>
        <v>41209</v>
      </c>
      <c r="B33" s="317" t="str">
        <f>IF(A33="Sin Recaudo","Sin Recaudo",IF(A33="No Aplica","No Aplica",IF(A33='LISTAS PPTO'!AO19,'LISTAS PPTO'!AP19,'LISTAS PPTO'!AQ19)))</f>
        <v>Recuperación de cartera</v>
      </c>
      <c r="C33" s="2207">
        <v>1200000</v>
      </c>
      <c r="D33" s="918">
        <f t="shared" si="1"/>
        <v>1.2E-4</v>
      </c>
      <c r="E33" s="2207">
        <v>14000</v>
      </c>
      <c r="F33" s="918">
        <f t="shared" si="2"/>
        <v>1.1666666666666666E-6</v>
      </c>
      <c r="G33" s="919">
        <f t="shared" si="3"/>
        <v>-1186000</v>
      </c>
      <c r="H33" s="918">
        <f t="shared" si="4"/>
        <v>-84.714285714285708</v>
      </c>
      <c r="I33" s="2210"/>
      <c r="J33" s="2207">
        <v>14000</v>
      </c>
      <c r="K33" s="2207"/>
      <c r="L33" s="2207"/>
      <c r="M33" s="919">
        <f t="shared" si="5"/>
        <v>14000</v>
      </c>
      <c r="N33" s="2207">
        <v>14000</v>
      </c>
      <c r="O33" s="1704">
        <f t="shared" si="6"/>
        <v>1</v>
      </c>
      <c r="P33" s="1704"/>
      <c r="Q33" s="1704"/>
      <c r="R33" s="1115"/>
      <c r="S33" s="2212"/>
      <c r="AT33" s="296" t="str">
        <f t="shared" si="0"/>
        <v>41209-Recuperación de cartera</v>
      </c>
    </row>
    <row r="34" spans="1:46" ht="15" x14ac:dyDescent="0.25">
      <c r="A34" s="917">
        <f>IF(VLOOKUP($B$8,'LISTAS PPTO'!$F$3:$I$100,4)="X","Sin Recaudo",IF(OR(VLOOKUP($B$8,'LISTAS PPTO'!$F$3:$G$100,2)="Empresa Industrial y Comercial",VLOOKUP($B$8,'LISTAS PPTO'!$F$3:$G$100,2)="Subred"),'LISTAS PPTO'!AO20,IF(OR(VLOOKUP($B$8,'LISTAS PPTO'!$F$3:$G$100,2)="Mixta",VLOOKUP($B$8,'LISTAS PPTO'!$F$3:$G$100,2)="Menor 50%"),"No Aplica",'LISTAS PPTO'!AO20)))</f>
        <v>41210</v>
      </c>
      <c r="B34" s="317" t="str">
        <f>IF(A34="Sin Recaudo","Sin Recaudo",IF(A34="No Aplica","No Aplica",IF(A34='LISTAS PPTO'!AO20,'LISTAS PPTO'!AP20,'LISTAS PPTO'!AQ20)))</f>
        <v>RECURSOS del balance</v>
      </c>
      <c r="C34" s="2207">
        <v>1200000</v>
      </c>
      <c r="D34" s="918">
        <f t="shared" si="1"/>
        <v>1.2E-4</v>
      </c>
      <c r="E34" s="2207">
        <v>14000</v>
      </c>
      <c r="F34" s="918">
        <f t="shared" si="2"/>
        <v>1.1666666666666666E-6</v>
      </c>
      <c r="G34" s="919">
        <f t="shared" si="3"/>
        <v>-1186000</v>
      </c>
      <c r="H34" s="918">
        <f t="shared" si="4"/>
        <v>-84.714285714285708</v>
      </c>
      <c r="I34" s="2210"/>
      <c r="J34" s="2207">
        <v>14000</v>
      </c>
      <c r="K34" s="2207"/>
      <c r="L34" s="2207"/>
      <c r="M34" s="919">
        <f t="shared" si="5"/>
        <v>14000</v>
      </c>
      <c r="N34" s="2207">
        <v>14000</v>
      </c>
      <c r="O34" s="1704">
        <f t="shared" si="6"/>
        <v>1</v>
      </c>
      <c r="P34" s="1704"/>
      <c r="Q34" s="1704"/>
      <c r="R34" s="1115"/>
      <c r="S34" s="2212"/>
      <c r="AT34" s="296" t="str">
        <f t="shared" si="0"/>
        <v>41210-RECURSOS del balance</v>
      </c>
    </row>
    <row r="35" spans="1:46" ht="15" x14ac:dyDescent="0.25">
      <c r="A35" s="917">
        <f>IF(VLOOKUP($B$8,'LISTAS PPTO'!$F$3:$I$100,4)="X","Sin Recaudo",IF(OR(VLOOKUP($B$8,'LISTAS PPTO'!$F$3:$G$100,2)="Empresa Industrial y Comercial",VLOOKUP($B$8,'LISTAS PPTO'!$F$3:$G$100,2)="Subred"),'LISTAS PPTO'!AO21,IF(OR(VLOOKUP($B$8,'LISTAS PPTO'!$F$3:$G$100,2)="Mixta",VLOOKUP($B$8,'LISTAS PPTO'!$F$3:$G$100,2)="Menor 50%"),"No Aplica",'LISTAS PPTO'!AO21)))</f>
        <v>41211</v>
      </c>
      <c r="B35" s="317" t="str">
        <f>IF(A35="Sin Recaudo","Sin Recaudo",IF(A35="No Aplica","No Aplica",IF(A35='LISTAS PPTO'!AO21,'LISTAS PPTO'!AP21,'LISTAS PPTO'!AQ21)))</f>
        <v>Diferencial cambiario</v>
      </c>
      <c r="C35" s="2207">
        <v>1200000</v>
      </c>
      <c r="D35" s="918">
        <f t="shared" si="1"/>
        <v>1.2E-4</v>
      </c>
      <c r="E35" s="2207">
        <v>14000</v>
      </c>
      <c r="F35" s="918">
        <f t="shared" si="2"/>
        <v>1.1666666666666666E-6</v>
      </c>
      <c r="G35" s="919">
        <f t="shared" si="3"/>
        <v>-1186000</v>
      </c>
      <c r="H35" s="918">
        <f t="shared" si="4"/>
        <v>-84.714285714285708</v>
      </c>
      <c r="I35" s="2210"/>
      <c r="J35" s="2207">
        <v>14000</v>
      </c>
      <c r="K35" s="2207"/>
      <c r="L35" s="2207"/>
      <c r="M35" s="919">
        <f t="shared" si="5"/>
        <v>14000</v>
      </c>
      <c r="N35" s="2207">
        <v>14000</v>
      </c>
      <c r="O35" s="1704">
        <f t="shared" si="6"/>
        <v>1</v>
      </c>
      <c r="P35" s="1704"/>
      <c r="Q35" s="1704"/>
      <c r="R35" s="1115"/>
      <c r="S35" s="2212"/>
      <c r="AT35" s="296" t="str">
        <f t="shared" si="0"/>
        <v>41211-Diferencial cambiario</v>
      </c>
    </row>
    <row r="36" spans="1:46" ht="15" x14ac:dyDescent="0.25">
      <c r="A36" s="917">
        <f>IF(VLOOKUP($B$8,'LISTAS PPTO'!$F$3:$I$100,4)="X","Sin Recaudo",IF(OR(VLOOKUP($B$8,'LISTAS PPTO'!$F$3:$G$100,2)="Empresa Industrial y Comercial",VLOOKUP($B$8,'LISTAS PPTO'!$F$3:$G$100,2)="Subred"),'LISTAS PPTO'!AO22,IF(OR(VLOOKUP($B$8,'LISTAS PPTO'!$F$3:$G$100,2)="Mixta",VLOOKUP($B$8,'LISTAS PPTO'!$F$3:$G$100,2)="Menor 50%"),"No Aplica",'LISTAS PPTO'!AO22)))</f>
        <v>41212</v>
      </c>
      <c r="B36" s="317" t="str">
        <f>IF(A36="Sin Recaudo","Sin Recaudo",IF(A36="No Aplica","No Aplica",IF(A36='LISTAS PPTO'!AO22,'LISTAS PPTO'!AP22,'LISTAS PPTO'!AQ22)))</f>
        <v>Retiros FONPET</v>
      </c>
      <c r="C36" s="2207">
        <v>1200000</v>
      </c>
      <c r="D36" s="918">
        <f t="shared" si="1"/>
        <v>1.2E-4</v>
      </c>
      <c r="E36" s="2207">
        <v>14000</v>
      </c>
      <c r="F36" s="918">
        <f t="shared" si="2"/>
        <v>1.1666666666666666E-6</v>
      </c>
      <c r="G36" s="919">
        <f t="shared" si="3"/>
        <v>-1186000</v>
      </c>
      <c r="H36" s="918">
        <f t="shared" si="4"/>
        <v>-84.714285714285708</v>
      </c>
      <c r="I36" s="2210"/>
      <c r="J36" s="2207">
        <v>14000</v>
      </c>
      <c r="K36" s="2207"/>
      <c r="L36" s="2207"/>
      <c r="M36" s="919">
        <f t="shared" si="5"/>
        <v>14000</v>
      </c>
      <c r="N36" s="2207">
        <v>14000</v>
      </c>
      <c r="O36" s="1704">
        <f t="shared" si="6"/>
        <v>1</v>
      </c>
      <c r="P36" s="1704"/>
      <c r="Q36" s="1704"/>
      <c r="R36" s="1115"/>
      <c r="S36" s="2212"/>
      <c r="AT36" s="296" t="str">
        <f t="shared" si="0"/>
        <v>41212-Retiros FONPET</v>
      </c>
    </row>
    <row r="37" spans="1:46" ht="14.25" customHeight="1" x14ac:dyDescent="0.25">
      <c r="A37" s="917">
        <f>IF(VLOOKUP($B$8,'LISTAS PPTO'!$F$3:$I$100,4)="X","Sin Recaudo",IF(OR(VLOOKUP($B$8,'LISTAS PPTO'!$F$3:$G$100,2)="Empresa Industrial y Comercial",VLOOKUP($B$8,'LISTAS PPTO'!$F$3:$G$100,2)="Subred"),'LISTAS PPTO'!AO23,IF(OR(VLOOKUP($B$8,'LISTAS PPTO'!$F$3:$G$100,2)="Mixta",VLOOKUP($B$8,'LISTAS PPTO'!$F$3:$G$100,2)="Menor 50%"),"No Aplica",'LISTAS PPTO'!AO23)))</f>
        <v>41213</v>
      </c>
      <c r="B37" s="317" t="str">
        <f>IF(A37="Sin Recaudo","Sin Recaudo",IF(A37="No Aplica","No Aplica",IF(A37='LISTAS PPTO'!AO23,'LISTAS PPTO'!AP23,'LISTAS PPTO'!AQ23)))</f>
        <v>Reintegros y otros RECURSOS no apropiados</v>
      </c>
      <c r="C37" s="2207">
        <v>1200000</v>
      </c>
      <c r="D37" s="918">
        <f t="shared" si="1"/>
        <v>1.2E-4</v>
      </c>
      <c r="E37" s="2207">
        <v>14000</v>
      </c>
      <c r="F37" s="918">
        <f t="shared" si="2"/>
        <v>1.1666666666666666E-6</v>
      </c>
      <c r="G37" s="919">
        <f t="shared" si="3"/>
        <v>-1186000</v>
      </c>
      <c r="H37" s="918">
        <f t="shared" si="4"/>
        <v>-84.714285714285708</v>
      </c>
      <c r="I37" s="2210"/>
      <c r="J37" s="2207">
        <v>14000</v>
      </c>
      <c r="K37" s="2207"/>
      <c r="L37" s="2207"/>
      <c r="M37" s="919">
        <f t="shared" si="5"/>
        <v>14000</v>
      </c>
      <c r="N37" s="2207">
        <v>14000</v>
      </c>
      <c r="O37" s="1704">
        <f t="shared" si="6"/>
        <v>1</v>
      </c>
      <c r="P37" s="1704"/>
      <c r="Q37" s="1704"/>
      <c r="R37" s="1115"/>
      <c r="S37" s="2212"/>
      <c r="AT37" s="296" t="str">
        <f t="shared" si="0"/>
        <v>41213-Reintegros y otros RECURSOS no apropiados</v>
      </c>
    </row>
    <row r="38" spans="1:46" s="781" customFormat="1" ht="15" x14ac:dyDescent="0.25">
      <c r="A38" s="912">
        <f>IF(VLOOKUP($B$8,'LISTAS PPTO'!$F$3:$I$100,4)="X","Sin Recaudo",IF(OR(VLOOKUP($B$8,'LISTAS PPTO'!$F$3:$G$100,2)="Empresa Industrial y Comercial",VLOOKUP($B$8,'LISTAS PPTO'!$F$3:$G$100,2)="Subred"),'LISTAS PPTO'!AO24,IF(OR(VLOOKUP($B$8,'LISTAS PPTO'!$F$3:$G$100,2)="Mixta",VLOOKUP($B$8,'LISTAS PPTO'!$F$3:$G$100,2)="Menor 50%"),"No Aplica",'LISTAS PPTO'!AO24)))</f>
        <v>4122</v>
      </c>
      <c r="B38" s="913" t="str">
        <f>IF(A38="Sin Recaudo","Sin Recaudo",IF(A38="No Aplica","No Aplica",IF(A38='LISTAS PPTO'!AO24,'LISTAS PPTO'!AP24,'LISTAS PPTO'!AQ24)))</f>
        <v>Transferencias</v>
      </c>
      <c r="C38" s="2206">
        <v>1200000</v>
      </c>
      <c r="D38" s="914">
        <f t="shared" si="1"/>
        <v>1.2E-4</v>
      </c>
      <c r="E38" s="2206">
        <v>14000</v>
      </c>
      <c r="F38" s="914">
        <f t="shared" si="2"/>
        <v>1.1666666666666666E-6</v>
      </c>
      <c r="G38" s="915">
        <f t="shared" si="3"/>
        <v>-1186000</v>
      </c>
      <c r="H38" s="914">
        <f t="shared" si="4"/>
        <v>-84.714285714285708</v>
      </c>
      <c r="I38" s="2209"/>
      <c r="J38" s="2206">
        <v>14000</v>
      </c>
      <c r="K38" s="2206"/>
      <c r="L38" s="2206"/>
      <c r="M38" s="915">
        <f t="shared" si="5"/>
        <v>14000</v>
      </c>
      <c r="N38" s="2206">
        <v>14000</v>
      </c>
      <c r="O38" s="1703">
        <f t="shared" si="6"/>
        <v>1</v>
      </c>
      <c r="P38" s="1703"/>
      <c r="Q38" s="1703"/>
      <c r="R38" s="1115"/>
      <c r="S38" s="2211"/>
      <c r="AT38" s="775" t="str">
        <f t="shared" si="0"/>
        <v>4122-Transferencias</v>
      </c>
    </row>
    <row r="39" spans="1:46" ht="15" x14ac:dyDescent="0.25">
      <c r="A39" s="917">
        <f>IF(VLOOKUP($B$8,'LISTAS PPTO'!$F$3:$I$100,4)="X","Sin Recaudo",IF(OR(VLOOKUP($B$8,'LISTAS PPTO'!$F$3:$G$100,2)="Empresa Industrial y Comercial",VLOOKUP($B$8,'LISTAS PPTO'!$F$3:$G$100,2)="Subred"),'LISTAS PPTO'!AO25,IF(OR(VLOOKUP($B$8,'LISTAS PPTO'!$F$3:$G$100,2)="Mixta",VLOOKUP($B$8,'LISTAS PPTO'!$F$3:$G$100,2)="Menor 50%"),"No Aplica",'LISTAS PPTO'!AO25)))</f>
        <v>412201</v>
      </c>
      <c r="B39" s="317" t="str">
        <f>IF(A39="Sin Recaudo","Sin Recaudo",IF(A39="No Aplica","No Aplica",IF(A39='LISTAS PPTO'!AO25,'LISTAS PPTO'!AP25,'LISTAS PPTO'!AQ25)))</f>
        <v>Transferencias corrientes nacionales</v>
      </c>
      <c r="C39" s="2207">
        <v>1200000</v>
      </c>
      <c r="D39" s="918">
        <f t="shared" si="1"/>
        <v>1.2E-4</v>
      </c>
      <c r="E39" s="2207">
        <v>14001</v>
      </c>
      <c r="F39" s="918">
        <f t="shared" si="2"/>
        <v>1.1667500000000001E-6</v>
      </c>
      <c r="G39" s="919">
        <f t="shared" si="3"/>
        <v>-1185999</v>
      </c>
      <c r="H39" s="918">
        <f t="shared" si="4"/>
        <v>-84.708163702592671</v>
      </c>
      <c r="I39" s="2210"/>
      <c r="J39" s="2207">
        <v>14001</v>
      </c>
      <c r="K39" s="2207"/>
      <c r="L39" s="2207"/>
      <c r="M39" s="919">
        <f t="shared" si="5"/>
        <v>14001</v>
      </c>
      <c r="N39" s="2207">
        <v>14001</v>
      </c>
      <c r="O39" s="1704">
        <f t="shared" si="6"/>
        <v>1</v>
      </c>
      <c r="P39" s="1704"/>
      <c r="Q39" s="1704"/>
      <c r="R39" s="1115"/>
      <c r="S39" s="2212"/>
      <c r="AT39" s="296" t="str">
        <f t="shared" si="0"/>
        <v>412201-Transferencias corrientes nacionales</v>
      </c>
    </row>
    <row r="40" spans="1:46" ht="15" x14ac:dyDescent="0.25">
      <c r="A40" s="917">
        <f>IF(VLOOKUP($B$8,'LISTAS PPTO'!$F$3:$I$100,4)="X","Sin Recaudo",IF(OR(VLOOKUP($B$8,'LISTAS PPTO'!$F$3:$G$100,2)="Empresa Industrial y Comercial",VLOOKUP($B$8,'LISTAS PPTO'!$F$3:$G$100,2)="Subred"),'LISTAS PPTO'!AO26,IF(OR(VLOOKUP($B$8,'LISTAS PPTO'!$F$3:$G$100,2)="Mixta",VLOOKUP($B$8,'LISTAS PPTO'!$F$3:$G$100,2)="Menor 50%"),"No Aplica",'LISTAS PPTO'!AO26)))</f>
        <v>412202</v>
      </c>
      <c r="B40" s="317" t="str">
        <f>IF(A40="Sin Recaudo","Sin Recaudo",IF(A40="No Aplica","No Aplica",IF(A40='LISTAS PPTO'!AO26,'LISTAS PPTO'!AP26,'LISTAS PPTO'!AQ26)))</f>
        <v>Departamentales</v>
      </c>
      <c r="C40" s="2207">
        <v>1200000</v>
      </c>
      <c r="D40" s="918">
        <f t="shared" si="1"/>
        <v>1.2E-4</v>
      </c>
      <c r="E40" s="2207">
        <v>14002</v>
      </c>
      <c r="F40" s="918">
        <f t="shared" si="2"/>
        <v>1.1668333333333334E-6</v>
      </c>
      <c r="G40" s="919">
        <f t="shared" si="3"/>
        <v>-1185998</v>
      </c>
      <c r="H40" s="918">
        <f t="shared" si="4"/>
        <v>-84.70204256534781</v>
      </c>
      <c r="I40" s="2210"/>
      <c r="J40" s="2207">
        <v>14002</v>
      </c>
      <c r="K40" s="2207"/>
      <c r="L40" s="2207"/>
      <c r="M40" s="919">
        <f t="shared" si="5"/>
        <v>14002</v>
      </c>
      <c r="N40" s="2207">
        <v>14002</v>
      </c>
      <c r="O40" s="1704">
        <f t="shared" si="6"/>
        <v>1</v>
      </c>
      <c r="P40" s="1704"/>
      <c r="Q40" s="1704"/>
      <c r="R40" s="1115"/>
      <c r="S40" s="2212"/>
      <c r="AT40" s="296" t="str">
        <f t="shared" si="0"/>
        <v>412202-Departamentales</v>
      </c>
    </row>
    <row r="41" spans="1:46" ht="15" x14ac:dyDescent="0.25">
      <c r="A41" s="917">
        <f>IF(VLOOKUP($B$8,'LISTAS PPTO'!$F$3:$I$100,4)="X","Sin Recaudo",IF(OR(VLOOKUP($B$8,'LISTAS PPTO'!$F$3:$G$100,2)="Empresa Industrial y Comercial",VLOOKUP($B$8,'LISTAS PPTO'!$F$3:$G$100,2)="Subred"),'LISTAS PPTO'!AO27,IF(OR(VLOOKUP($B$8,'LISTAS PPTO'!$F$3:$G$100,2)="Mixta",VLOOKUP($B$8,'LISTAS PPTO'!$F$3:$G$100,2)="Menor 50%"),"No Aplica",'LISTAS PPTO'!AO27)))</f>
        <v>412203</v>
      </c>
      <c r="B41" s="317" t="str">
        <f>IF(A41="Sin Recaudo","Sin Recaudo",IF(A41="No Aplica","No Aplica",IF(A41='LISTAS PPTO'!AO27,'LISTAS PPTO'!AP27,'LISTAS PPTO'!AQ27)))</f>
        <v>Distritales</v>
      </c>
      <c r="C41" s="2207">
        <v>1200000</v>
      </c>
      <c r="D41" s="918">
        <f t="shared" si="1"/>
        <v>1.2E-4</v>
      </c>
      <c r="E41" s="2207">
        <v>14003</v>
      </c>
      <c r="F41" s="918">
        <f t="shared" si="2"/>
        <v>1.1669166666666667E-6</v>
      </c>
      <c r="G41" s="919">
        <f t="shared" si="3"/>
        <v>-1185997</v>
      </c>
      <c r="H41" s="918">
        <f t="shared" si="4"/>
        <v>-84.695922302363783</v>
      </c>
      <c r="I41" s="2210"/>
      <c r="J41" s="2207">
        <v>14003</v>
      </c>
      <c r="K41" s="2207"/>
      <c r="L41" s="2207"/>
      <c r="M41" s="919">
        <f t="shared" si="5"/>
        <v>14003</v>
      </c>
      <c r="N41" s="2207">
        <v>14003</v>
      </c>
      <c r="O41" s="1704">
        <f t="shared" si="6"/>
        <v>1</v>
      </c>
      <c r="P41" s="1704"/>
      <c r="Q41" s="1704"/>
      <c r="R41" s="1115"/>
      <c r="S41" s="2212"/>
      <c r="AT41" s="296" t="str">
        <f t="shared" si="0"/>
        <v>412203-Distritales</v>
      </c>
    </row>
    <row r="42" spans="1:46" ht="15" x14ac:dyDescent="0.25">
      <c r="A42" s="917">
        <f>IF(VLOOKUP($B$8,'LISTAS PPTO'!$F$3:$I$100,4)="X","Sin Recaudo",IF(OR(VLOOKUP($B$8,'LISTAS PPTO'!$F$3:$G$100,2)="Empresa Industrial y Comercial",VLOOKUP($B$8,'LISTAS PPTO'!$F$3:$G$100,2)="Subred"),'LISTAS PPTO'!AO28,IF(OR(VLOOKUP($B$8,'LISTAS PPTO'!$F$3:$G$100,2)="Mixta",VLOOKUP($B$8,'LISTAS PPTO'!$F$3:$G$100,2)="Menor 50%"),"No Aplica",'LISTAS PPTO'!AO28)))</f>
        <v>412204</v>
      </c>
      <c r="B42" s="317" t="str">
        <f>IF(A42="Sin Recaudo","Sin Recaudo",IF(A42="No Aplica","No Aplica",IF(A42='LISTAS PPTO'!AO28,'LISTAS PPTO'!AP28,'LISTAS PPTO'!AQ28)))</f>
        <v>Otras Transferencias</v>
      </c>
      <c r="C42" s="2207">
        <v>1200000</v>
      </c>
      <c r="D42" s="918">
        <f t="shared" si="1"/>
        <v>1.2E-4</v>
      </c>
      <c r="E42" s="2207">
        <v>14004</v>
      </c>
      <c r="F42" s="918">
        <f t="shared" si="2"/>
        <v>1.167E-6</v>
      </c>
      <c r="G42" s="919">
        <f t="shared" si="3"/>
        <v>-1185996</v>
      </c>
      <c r="H42" s="918">
        <f t="shared" si="4"/>
        <v>-84.689802913453306</v>
      </c>
      <c r="I42" s="2210"/>
      <c r="J42" s="2207">
        <v>14004</v>
      </c>
      <c r="K42" s="2207"/>
      <c r="L42" s="2207"/>
      <c r="M42" s="919">
        <f t="shared" si="5"/>
        <v>14004</v>
      </c>
      <c r="N42" s="2207">
        <v>14004</v>
      </c>
      <c r="O42" s="1704">
        <f t="shared" si="6"/>
        <v>1</v>
      </c>
      <c r="P42" s="1704"/>
      <c r="Q42" s="1704"/>
      <c r="R42" s="1115"/>
      <c r="S42" s="2212"/>
      <c r="AT42" s="296" t="str">
        <f t="shared" si="0"/>
        <v>412204-Otras Transferencias</v>
      </c>
    </row>
    <row r="43" spans="1:46" s="781" customFormat="1" ht="15" x14ac:dyDescent="0.25">
      <c r="A43" s="912">
        <f>IF(VLOOKUP($B$8,'LISTAS PPTO'!$F$3:$I$100,4)="X","Sin Recaudo",IF(OR(VLOOKUP($B$8,'LISTAS PPTO'!$F$3:$G$100,2)="Empresa Industrial y Comercial",VLOOKUP($B$8,'LISTAS PPTO'!$F$3:$G$100,2)="Subred"),'LISTAS PPTO'!AO29,IF(OR(VLOOKUP($B$8,'LISTAS PPTO'!$F$3:$G$100,2)="Mixta",VLOOKUP($B$8,'LISTAS PPTO'!$F$3:$G$100,2)="Menor 50%"),"No Aplica",'LISTAS PPTO'!AO29)))</f>
        <v>415</v>
      </c>
      <c r="B43" s="913" t="str">
        <f>IF(A43="Sin Recaudo","Sin Recaudo",IF(A43="No Aplica","No Aplica",IF(A43='LISTAS PPTO'!AO29,'LISTAS PPTO'!AP29,'LISTAS PPTO'!AQ29)))</f>
        <v>Transferencias Administración Central</v>
      </c>
      <c r="C43" s="2206">
        <v>1200000</v>
      </c>
      <c r="D43" s="914">
        <f t="shared" si="1"/>
        <v>1.2E-4</v>
      </c>
      <c r="E43" s="2206">
        <v>14005</v>
      </c>
      <c r="F43" s="914">
        <f t="shared" si="2"/>
        <v>1.1670833333333333E-6</v>
      </c>
      <c r="G43" s="915">
        <f t="shared" si="3"/>
        <v>-1185995</v>
      </c>
      <c r="H43" s="914">
        <f t="shared" si="4"/>
        <v>-84.683684398429136</v>
      </c>
      <c r="I43" s="2209"/>
      <c r="J43" s="2206">
        <v>14005</v>
      </c>
      <c r="K43" s="2206"/>
      <c r="L43" s="2206"/>
      <c r="M43" s="915">
        <f t="shared" si="5"/>
        <v>14005</v>
      </c>
      <c r="N43" s="2206">
        <v>14005</v>
      </c>
      <c r="O43" s="1703">
        <f t="shared" si="6"/>
        <v>1</v>
      </c>
      <c r="P43" s="1703"/>
      <c r="Q43" s="1703"/>
      <c r="R43" s="1115"/>
      <c r="S43" s="2211"/>
      <c r="AT43" s="775" t="str">
        <f t="shared" si="0"/>
        <v>415-Transferencias Administración Central</v>
      </c>
    </row>
    <row r="44" spans="1:46" ht="15.75" thickBot="1" x14ac:dyDescent="0.3">
      <c r="A44" s="920"/>
      <c r="B44" s="921"/>
      <c r="C44" s="2208"/>
      <c r="D44" s="923"/>
      <c r="E44" s="2208"/>
      <c r="F44" s="923"/>
      <c r="G44" s="924"/>
      <c r="H44" s="923"/>
      <c r="I44" s="925"/>
      <c r="J44" s="922"/>
      <c r="K44" s="922"/>
      <c r="L44" s="922"/>
      <c r="M44" s="924"/>
      <c r="N44" s="922"/>
      <c r="O44" s="1705" t="str">
        <f t="shared" si="6"/>
        <v/>
      </c>
      <c r="P44" s="1706"/>
      <c r="Q44" s="1707"/>
      <c r="R44" s="2213"/>
      <c r="S44" s="2214"/>
      <c r="AT44" s="296" t="str">
        <f t="shared" si="0"/>
        <v>-</v>
      </c>
    </row>
    <row r="45" spans="1:46" ht="15" x14ac:dyDescent="0.25">
      <c r="A45" s="1682" t="s">
        <v>1680</v>
      </c>
      <c r="B45" s="1683"/>
      <c r="C45" s="1686" t="s">
        <v>1660</v>
      </c>
      <c r="D45" s="1686"/>
      <c r="E45" s="1686"/>
      <c r="F45" s="1686"/>
      <c r="G45" s="1686"/>
      <c r="H45" s="1686"/>
      <c r="I45" s="1686"/>
      <c r="J45" s="1688" t="s">
        <v>1661</v>
      </c>
      <c r="K45" s="1686"/>
      <c r="L45" s="1686"/>
      <c r="M45" s="1686"/>
      <c r="N45" s="1686"/>
      <c r="O45" s="1686"/>
      <c r="P45" s="1686"/>
      <c r="Q45" s="1686"/>
      <c r="R45" s="1686"/>
      <c r="S45" s="909"/>
      <c r="AT45" s="296"/>
    </row>
    <row r="46" spans="1:46" ht="15" thickBot="1" x14ac:dyDescent="0.3">
      <c r="A46" s="1684"/>
      <c r="B46" s="1685"/>
      <c r="C46" s="1687"/>
      <c r="D46" s="1687"/>
      <c r="E46" s="1687"/>
      <c r="F46" s="1687"/>
      <c r="G46" s="1687"/>
      <c r="H46" s="1687"/>
      <c r="I46" s="1687"/>
      <c r="J46" s="1689"/>
      <c r="K46" s="1687"/>
      <c r="L46" s="1687"/>
      <c r="M46" s="1687"/>
      <c r="N46" s="1687"/>
      <c r="O46" s="1687"/>
      <c r="P46" s="1687"/>
      <c r="Q46" s="1687"/>
      <c r="R46" s="1687"/>
      <c r="S46" s="910" t="s">
        <v>1662</v>
      </c>
      <c r="AT46" s="296"/>
    </row>
    <row r="47" spans="1:46" ht="36.75" customHeight="1" x14ac:dyDescent="0.25">
      <c r="A47" s="1690" t="s">
        <v>302</v>
      </c>
      <c r="B47" s="1679" t="s">
        <v>1663</v>
      </c>
      <c r="C47" s="1690" t="s">
        <v>1681</v>
      </c>
      <c r="D47" s="1692" t="s">
        <v>1682</v>
      </c>
      <c r="E47" s="1692" t="s">
        <v>1683</v>
      </c>
      <c r="F47" s="1692" t="s">
        <v>1684</v>
      </c>
      <c r="G47" s="1692" t="s">
        <v>1668</v>
      </c>
      <c r="H47" s="1692" t="s">
        <v>1669</v>
      </c>
      <c r="I47" s="1679" t="s">
        <v>1670</v>
      </c>
      <c r="J47" s="1690" t="s">
        <v>1671</v>
      </c>
      <c r="K47" s="1692" t="s">
        <v>1672</v>
      </c>
      <c r="L47" s="1692"/>
      <c r="M47" s="1692" t="s">
        <v>1685</v>
      </c>
      <c r="N47" s="1692" t="s">
        <v>1686</v>
      </c>
      <c r="O47" s="1692" t="s">
        <v>1687</v>
      </c>
      <c r="P47" s="1692" t="s">
        <v>1688</v>
      </c>
      <c r="Q47" s="1692" t="s">
        <v>1689</v>
      </c>
      <c r="R47" s="1692" t="s">
        <v>1676</v>
      </c>
      <c r="S47" s="1679" t="s">
        <v>1690</v>
      </c>
      <c r="AT47" s="296"/>
    </row>
    <row r="48" spans="1:46" ht="39.75" customHeight="1" thickBot="1" x14ac:dyDescent="0.3">
      <c r="A48" s="1708"/>
      <c r="B48" s="1709"/>
      <c r="C48" s="1691"/>
      <c r="D48" s="1693"/>
      <c r="E48" s="1693"/>
      <c r="F48" s="1693"/>
      <c r="G48" s="1693"/>
      <c r="H48" s="1693"/>
      <c r="I48" s="1680"/>
      <c r="J48" s="1691"/>
      <c r="K48" s="911" t="s">
        <v>1678</v>
      </c>
      <c r="L48" s="911" t="s">
        <v>1679</v>
      </c>
      <c r="M48" s="1693"/>
      <c r="N48" s="1693"/>
      <c r="O48" s="1693"/>
      <c r="P48" s="1693"/>
      <c r="Q48" s="1693"/>
      <c r="R48" s="1710"/>
      <c r="S48" s="1680"/>
      <c r="AT48" s="296"/>
    </row>
    <row r="49" spans="1:46" s="781" customFormat="1" ht="15" x14ac:dyDescent="0.25">
      <c r="A49" s="966">
        <f>IF(VLOOKUP($B$8,'LISTAS PPTO'!$F$3:$I$100,4)="X","Sin Recaudo",IF(OR(VLOOKUP($B$8,'LISTAS PPTO'!$F$3:$G$100,2)="Empresa Industrial y Comercial",VLOOKUP($B$8,'LISTAS PPTO'!$F$3:$G$100,2)="Subred"),'LISTAS PPTO'!AO33,IF(OR(VLOOKUP($B$8,'LISTAS PPTO'!$F$3:$G$100,2)="Mixta",VLOOKUP($B$8,'LISTAS PPTO'!$F$3:$G$100,2)="Menor 50%"),"No Aplica",'LISTAS PPTO'!AO33)))</f>
        <v>42</v>
      </c>
      <c r="B49" s="805" t="str">
        <f>IF(A49="Sin Recaudo","Sin Recaudo",IF(A49="No Aplica","No Aplica",IF(A49='LISTAS PPTO'!AO33,'LISTAS PPTO'!AP33,'LISTAS PPTO'!AP33)))</f>
        <v>GASTOS</v>
      </c>
      <c r="C49" s="2215">
        <v>10000000000</v>
      </c>
      <c r="D49" s="926">
        <f>IF(C49="","",C49/$C$49)</f>
        <v>1</v>
      </c>
      <c r="E49" s="2215">
        <v>12000000000</v>
      </c>
      <c r="F49" s="926">
        <f>IF(E49="","",E49/$E$49)</f>
        <v>1</v>
      </c>
      <c r="G49" s="927">
        <f t="shared" ref="G49:G83" si="7">IF(AND(C49="",E49=""),"",E49-C49)</f>
        <v>2000000000</v>
      </c>
      <c r="H49" s="926">
        <f t="shared" ref="H49:H83" si="8">IF(E49="",G49/C49,G49/E49)</f>
        <v>0.16666666666666666</v>
      </c>
      <c r="I49" s="2216"/>
      <c r="J49" s="2215">
        <v>12000000000</v>
      </c>
      <c r="K49" s="2215"/>
      <c r="L49" s="2215"/>
      <c r="M49" s="927">
        <f t="shared" ref="M49:M83" si="9">IF(J49="","",J49-K49+L49)</f>
        <v>12000000000</v>
      </c>
      <c r="N49" s="2215">
        <v>133000000000</v>
      </c>
      <c r="O49" s="926">
        <f>IF(OR(E49="",N49=""),"",N49/E49)</f>
        <v>11.083333333333334</v>
      </c>
      <c r="P49" s="2215">
        <v>12000000000</v>
      </c>
      <c r="Q49" s="926">
        <f>IF(OR(E49="",P49=""),"",P49/E49)</f>
        <v>1</v>
      </c>
      <c r="R49" s="1115"/>
      <c r="S49" s="2218"/>
      <c r="AT49" s="775" t="str">
        <f t="shared" ref="AT49:AT82" si="10">CONCATENATE(A49,"-",B49)</f>
        <v>42-GASTOS</v>
      </c>
    </row>
    <row r="50" spans="1:46" s="781" customFormat="1" ht="15" x14ac:dyDescent="0.25">
      <c r="A50" s="966">
        <f>IF(VLOOKUP($B$8,'LISTAS PPTO'!$F$3:$I$100,4)="X","Sin Recaudo",IF(OR(VLOOKUP($B$8,'LISTAS PPTO'!$F$3:$G$100,2)="Empresa Industrial y Comercial",VLOOKUP($B$8,'LISTAS PPTO'!$F$3:$G$100,2)="Subred"),'LISTAS PPTO'!AO34,IF(OR(VLOOKUP($B$8,'LISTAS PPTO'!$F$3:$G$100,2)="Mixta",VLOOKUP($B$8,'LISTAS PPTO'!$F$3:$G$100,2)="Menor 50%"),"No Aplica",'LISTAS PPTO'!AO34)))</f>
        <v>421</v>
      </c>
      <c r="B50" s="805" t="str">
        <f>IF(A50="Sin Recaudo","Sin Recaudo",IF(A50="No Aplica","No Aplica",IF(A50='LISTAS PPTO'!AO34,'LISTAS PPTO'!AP34,'LISTAS PPTO'!AP34)))</f>
        <v>GASTOS DE FUNCIONAMIENTO</v>
      </c>
      <c r="C50" s="2206">
        <v>20000000</v>
      </c>
      <c r="D50" s="914">
        <f t="shared" ref="D50:D83" si="11">IF(C50="","",C50/$C$49)</f>
        <v>2E-3</v>
      </c>
      <c r="E50" s="2206">
        <v>200000</v>
      </c>
      <c r="F50" s="914">
        <f t="shared" ref="F50:F83" si="12">IF(E50="","",E50/$E$49)</f>
        <v>1.6666666666666667E-5</v>
      </c>
      <c r="G50" s="915">
        <f t="shared" si="7"/>
        <v>-19800000</v>
      </c>
      <c r="H50" s="914">
        <f t="shared" si="8"/>
        <v>-99</v>
      </c>
      <c r="I50" s="2209"/>
      <c r="J50" s="2206">
        <v>200000</v>
      </c>
      <c r="K50" s="2206"/>
      <c r="L50" s="2206"/>
      <c r="M50" s="915">
        <f t="shared" si="9"/>
        <v>200000</v>
      </c>
      <c r="N50" s="2206">
        <v>200000</v>
      </c>
      <c r="O50" s="914">
        <f t="shared" ref="O50:O83" si="13">IF(OR(E50="",N50=""),"",N50/E50)</f>
        <v>1</v>
      </c>
      <c r="P50" s="2206">
        <v>200000</v>
      </c>
      <c r="Q50" s="914">
        <f t="shared" ref="Q50:Q83" si="14">IF(OR(E50="",P50=""),"",P50/E50)</f>
        <v>1</v>
      </c>
      <c r="R50" s="1115"/>
      <c r="S50" s="2211"/>
      <c r="AT50" s="775" t="str">
        <f t="shared" si="10"/>
        <v>421-GASTOS DE FUNCIONAMIENTO</v>
      </c>
    </row>
    <row r="51" spans="1:46" ht="15" x14ac:dyDescent="0.25">
      <c r="A51" s="965">
        <f>IF(VLOOKUP($B$8,'LISTAS PPTO'!$F$3:$I$100,4)="X","Sin Recaudo",IF(OR(VLOOKUP($B$8,'LISTAS PPTO'!$F$3:$G$100,2)="Empresa Industrial y Comercial",VLOOKUP($B$8,'LISTAS PPTO'!$F$3:$G$100,2)="Subred"),'LISTAS PPTO'!AO35,IF(OR(VLOOKUP($B$8,'LISTAS PPTO'!$F$3:$G$100,2)="Mixta",VLOOKUP($B$8,'LISTAS PPTO'!$F$3:$G$100,2)="Menor 50%"),"No Aplica",'LISTAS PPTO'!AO35)))</f>
        <v>4211</v>
      </c>
      <c r="B51" s="928" t="str">
        <f>IF(A51="Sin Recaudo","Sin Recaudo",IF(A51="No Aplica","No Aplica",IF(A51='LISTAS PPTO'!AO35,'LISTAS PPTO'!AP35,'LISTAS PPTO'!AP35)))</f>
        <v>Gasto de personal</v>
      </c>
      <c r="C51" s="2207">
        <v>3000000</v>
      </c>
      <c r="D51" s="918">
        <f t="shared" si="11"/>
        <v>2.9999999999999997E-4</v>
      </c>
      <c r="E51" s="2207">
        <v>5000000</v>
      </c>
      <c r="F51" s="918">
        <f t="shared" si="12"/>
        <v>4.1666666666666669E-4</v>
      </c>
      <c r="G51" s="919">
        <f t="shared" si="7"/>
        <v>2000000</v>
      </c>
      <c r="H51" s="918">
        <f t="shared" si="8"/>
        <v>0.4</v>
      </c>
      <c r="I51" s="2210"/>
      <c r="J51" s="2207">
        <v>5000000</v>
      </c>
      <c r="K51" s="2207"/>
      <c r="L51" s="2207"/>
      <c r="M51" s="919">
        <f t="shared" si="9"/>
        <v>5000000</v>
      </c>
      <c r="N51" s="2207">
        <v>5000000</v>
      </c>
      <c r="O51" s="918">
        <f t="shared" si="13"/>
        <v>1</v>
      </c>
      <c r="P51" s="2207">
        <v>5000000</v>
      </c>
      <c r="Q51" s="918">
        <f t="shared" si="14"/>
        <v>1</v>
      </c>
      <c r="R51" s="1115"/>
      <c r="S51" s="2212"/>
      <c r="AT51" s="296" t="str">
        <f t="shared" si="10"/>
        <v>4211-Gasto de personal</v>
      </c>
    </row>
    <row r="52" spans="1:46" ht="15" x14ac:dyDescent="0.25">
      <c r="A52" s="965">
        <f>IF(VLOOKUP($B$8,'LISTAS PPTO'!$F$3:$I$100,4)="X","Sin Recaudo",IF(OR(VLOOKUP($B$8,'LISTAS PPTO'!$F$3:$G$100,2)="Empresa Industrial y Comercial",VLOOKUP($B$8,'LISTAS PPTO'!$F$3:$G$100,2)="Subred"),'LISTAS PPTO'!AO36,IF(OR(VLOOKUP($B$8,'LISTAS PPTO'!$F$3:$G$100,2)="Mixta",VLOOKUP($B$8,'LISTAS PPTO'!$F$3:$G$100,2)="Menor 50%"),"No Aplica",'LISTAS PPTO'!AO36)))</f>
        <v>421101</v>
      </c>
      <c r="B52" s="928" t="str">
        <f>IF(A52="Sin Recaudo","Sin Recaudo",IF(A52="No Aplica","No Aplica",IF(A52='LISTAS PPTO'!AO36,'LISTAS PPTO'!AP36,'LISTAS PPTO'!AP36)))</f>
        <v>Planta de Personal permanente</v>
      </c>
      <c r="C52" s="2207">
        <v>120000</v>
      </c>
      <c r="D52" s="918">
        <f t="shared" si="11"/>
        <v>1.2E-5</v>
      </c>
      <c r="E52" s="2207">
        <v>120000</v>
      </c>
      <c r="F52" s="918">
        <f t="shared" si="12"/>
        <v>1.0000000000000001E-5</v>
      </c>
      <c r="G52" s="919">
        <f t="shared" si="7"/>
        <v>0</v>
      </c>
      <c r="H52" s="918">
        <f t="shared" si="8"/>
        <v>0</v>
      </c>
      <c r="I52" s="2210"/>
      <c r="J52" s="2207">
        <v>120000</v>
      </c>
      <c r="K52" s="2207"/>
      <c r="L52" s="2207"/>
      <c r="M52" s="919">
        <f t="shared" si="9"/>
        <v>120000</v>
      </c>
      <c r="N52" s="2207">
        <v>120000</v>
      </c>
      <c r="O52" s="918">
        <f t="shared" si="13"/>
        <v>1</v>
      </c>
      <c r="P52" s="2207">
        <v>120000</v>
      </c>
      <c r="Q52" s="918">
        <f t="shared" si="14"/>
        <v>1</v>
      </c>
      <c r="R52" s="1115"/>
      <c r="S52" s="2212"/>
      <c r="AT52" s="296" t="str">
        <f t="shared" si="10"/>
        <v>421101-Planta de Personal permanente</v>
      </c>
    </row>
    <row r="53" spans="1:46" ht="16.5" customHeight="1" x14ac:dyDescent="0.25">
      <c r="A53" s="965">
        <f>IF(VLOOKUP($B$8,'LISTAS PPTO'!$F$3:$I$100,4)="X","Sin Recaudo",IF(OR(VLOOKUP($B$8,'LISTAS PPTO'!$F$3:$G$100,2)="Empresa Industrial y Comercial",VLOOKUP($B$8,'LISTAS PPTO'!$F$3:$G$100,2)="Subred"),'LISTAS PPTO'!AO37,IF(OR(VLOOKUP($B$8,'LISTAS PPTO'!$F$3:$G$100,2)="Mixta",VLOOKUP($B$8,'LISTAS PPTO'!$F$3:$G$100,2)="Menor 50%"),"No Aplica",'LISTAS PPTO'!AO37)))</f>
        <v>421102</v>
      </c>
      <c r="B53" s="928" t="str">
        <f>IF(A53="Sin Recaudo","Sin Recaudo",IF(A53="No Aplica","No Aplica",IF(A53='LISTAS PPTO'!AO37,'LISTAS PPTO'!AP37,'LISTAS PPTO'!AP37)))</f>
        <v>Personal supernumerario y Planta temporal</v>
      </c>
      <c r="C53" s="2207">
        <v>2000000</v>
      </c>
      <c r="D53" s="918">
        <f t="shared" si="11"/>
        <v>2.0000000000000001E-4</v>
      </c>
      <c r="E53" s="2207">
        <v>2000000</v>
      </c>
      <c r="F53" s="918">
        <f t="shared" si="12"/>
        <v>1.6666666666666666E-4</v>
      </c>
      <c r="G53" s="919">
        <f t="shared" si="7"/>
        <v>0</v>
      </c>
      <c r="H53" s="918">
        <f t="shared" si="8"/>
        <v>0</v>
      </c>
      <c r="I53" s="2210"/>
      <c r="J53" s="2207">
        <v>2000000</v>
      </c>
      <c r="K53" s="2207"/>
      <c r="L53" s="2207"/>
      <c r="M53" s="919">
        <f t="shared" si="9"/>
        <v>2000000</v>
      </c>
      <c r="N53" s="2207">
        <v>2000000</v>
      </c>
      <c r="O53" s="918">
        <f t="shared" si="13"/>
        <v>1</v>
      </c>
      <c r="P53" s="2207">
        <v>2000000</v>
      </c>
      <c r="Q53" s="918">
        <f t="shared" si="14"/>
        <v>1</v>
      </c>
      <c r="R53" s="1115"/>
      <c r="S53" s="2212"/>
      <c r="AT53" s="296" t="str">
        <f t="shared" si="10"/>
        <v>421102-Personal supernumerario y Planta temporal</v>
      </c>
    </row>
    <row r="54" spans="1:46" ht="15" x14ac:dyDescent="0.25">
      <c r="A54" s="965">
        <f>IF(VLOOKUP($B$8,'LISTAS PPTO'!$F$3:$I$100,4)="X","Sin Recaudo",IF(OR(VLOOKUP($B$8,'LISTAS PPTO'!$F$3:$G$100,2)="Empresa Industrial y Comercial",VLOOKUP($B$8,'LISTAS PPTO'!$F$3:$G$100,2)="Subred"),'LISTAS PPTO'!AO38,IF(OR(VLOOKUP($B$8,'LISTAS PPTO'!$F$3:$G$100,2)="Mixta",VLOOKUP($B$8,'LISTAS PPTO'!$F$3:$G$100,2)="Menor 50%"),"No Aplica",'LISTAS PPTO'!AO38)))</f>
        <v>4212</v>
      </c>
      <c r="B54" s="928" t="str">
        <f>IF(A54="Sin Recaudo","Sin Recaudo",IF(A54="No Aplica","No Aplica",IF(A54='LISTAS PPTO'!AO38,'LISTAS PPTO'!AP38,'LISTAS PPTO'!AP38)))</f>
        <v>Adquisición bienes y servicios</v>
      </c>
      <c r="C54" s="2207">
        <v>12000</v>
      </c>
      <c r="D54" s="918">
        <f t="shared" si="11"/>
        <v>1.1999999999999999E-6</v>
      </c>
      <c r="E54" s="2207">
        <v>12000</v>
      </c>
      <c r="F54" s="918">
        <f t="shared" si="12"/>
        <v>9.9999999999999995E-7</v>
      </c>
      <c r="G54" s="919">
        <f t="shared" si="7"/>
        <v>0</v>
      </c>
      <c r="H54" s="918">
        <f t="shared" si="8"/>
        <v>0</v>
      </c>
      <c r="I54" s="2210"/>
      <c r="J54" s="2207">
        <v>12000</v>
      </c>
      <c r="K54" s="2207"/>
      <c r="L54" s="2207"/>
      <c r="M54" s="919">
        <f t="shared" si="9"/>
        <v>12000</v>
      </c>
      <c r="N54" s="2207">
        <v>12000</v>
      </c>
      <c r="O54" s="918">
        <f t="shared" si="13"/>
        <v>1</v>
      </c>
      <c r="P54" s="2207">
        <v>12000</v>
      </c>
      <c r="Q54" s="918">
        <f t="shared" si="14"/>
        <v>1</v>
      </c>
      <c r="R54" s="1115"/>
      <c r="S54" s="2212"/>
      <c r="AT54" s="296" t="str">
        <f t="shared" si="10"/>
        <v>4212-Adquisición bienes y servicios</v>
      </c>
    </row>
    <row r="55" spans="1:46" ht="15" x14ac:dyDescent="0.25">
      <c r="A55" s="965">
        <f>IF(VLOOKUP($B$8,'LISTAS PPTO'!$F$3:$I$100,4)="X","Sin Recaudo",IF(OR(VLOOKUP($B$8,'LISTAS PPTO'!$F$3:$G$100,2)="Empresa Industrial y Comercial",VLOOKUP($B$8,'LISTAS PPTO'!$F$3:$G$100,2)="Subred"),'LISTAS PPTO'!AO39,IF(OR(VLOOKUP($B$8,'LISTAS PPTO'!$F$3:$G$100,2)="Mixta",VLOOKUP($B$8,'LISTAS PPTO'!$F$3:$G$100,2)="Menor 50%"),"No Aplica",'LISTAS PPTO'!AO39)))</f>
        <v>421201</v>
      </c>
      <c r="B55" s="928" t="str">
        <f>IF(A55="Sin Recaudo","Sin Recaudo",IF(A55="No Aplica","No Aplica",IF(A55='LISTAS PPTO'!AO39,'LISTAS PPTO'!AP39,'LISTAS PPTO'!AP39)))</f>
        <v>Adquisición de activos no financieros</v>
      </c>
      <c r="C55" s="2207">
        <v>12000</v>
      </c>
      <c r="D55" s="918">
        <f t="shared" si="11"/>
        <v>1.1999999999999999E-6</v>
      </c>
      <c r="E55" s="2207">
        <v>12000</v>
      </c>
      <c r="F55" s="918">
        <f t="shared" si="12"/>
        <v>9.9999999999999995E-7</v>
      </c>
      <c r="G55" s="919">
        <f t="shared" si="7"/>
        <v>0</v>
      </c>
      <c r="H55" s="918">
        <f t="shared" si="8"/>
        <v>0</v>
      </c>
      <c r="I55" s="2210"/>
      <c r="J55" s="2207">
        <v>12000</v>
      </c>
      <c r="K55" s="2207"/>
      <c r="L55" s="2207"/>
      <c r="M55" s="919">
        <f t="shared" si="9"/>
        <v>12000</v>
      </c>
      <c r="N55" s="2207">
        <v>12000</v>
      </c>
      <c r="O55" s="918">
        <f t="shared" si="13"/>
        <v>1</v>
      </c>
      <c r="P55" s="2207">
        <v>12000</v>
      </c>
      <c r="Q55" s="918">
        <f t="shared" si="14"/>
        <v>1</v>
      </c>
      <c r="R55" s="1115" t="s">
        <v>1740</v>
      </c>
      <c r="S55" s="2212"/>
      <c r="AT55" s="296" t="str">
        <f t="shared" si="10"/>
        <v>421201-Adquisición de activos no financieros</v>
      </c>
    </row>
    <row r="56" spans="1:46" ht="15" x14ac:dyDescent="0.25">
      <c r="A56" s="965">
        <f>IF(VLOOKUP($B$8,'LISTAS PPTO'!$F$3:$I$100,4)="X","Sin Recaudo",IF(OR(VLOOKUP($B$8,'LISTAS PPTO'!$F$3:$G$100,2)="Empresa Industrial y Comercial",VLOOKUP($B$8,'LISTAS PPTO'!$F$3:$G$100,2)="Subred"),'LISTAS PPTO'!AO40,IF(OR(VLOOKUP($B$8,'LISTAS PPTO'!$F$3:$G$100,2)="Mixta",VLOOKUP($B$8,'LISTAS PPTO'!$F$3:$G$100,2)="Menor 50%"),"No Aplica",'LISTAS PPTO'!AO40)))</f>
        <v>421202</v>
      </c>
      <c r="B56" s="928" t="str">
        <f>IF(A56="Sin Recaudo","Sin Recaudo",IF(A56="No Aplica","No Aplica",IF(A56='LISTAS PPTO'!AO40,'LISTAS PPTO'!AP40,'LISTAS PPTO'!AP40)))</f>
        <v>Adquisiciones diferentes de activos</v>
      </c>
      <c r="C56" s="2207">
        <v>12000</v>
      </c>
      <c r="D56" s="918">
        <f t="shared" si="11"/>
        <v>1.1999999999999999E-6</v>
      </c>
      <c r="E56" s="2207">
        <v>12000</v>
      </c>
      <c r="F56" s="918">
        <f t="shared" si="12"/>
        <v>9.9999999999999995E-7</v>
      </c>
      <c r="G56" s="919">
        <f t="shared" si="7"/>
        <v>0</v>
      </c>
      <c r="H56" s="918">
        <f t="shared" si="8"/>
        <v>0</v>
      </c>
      <c r="I56" s="2210"/>
      <c r="J56" s="2207">
        <v>12000</v>
      </c>
      <c r="K56" s="2207"/>
      <c r="L56" s="2207"/>
      <c r="M56" s="919">
        <f t="shared" si="9"/>
        <v>12000</v>
      </c>
      <c r="N56" s="2207">
        <v>12000</v>
      </c>
      <c r="O56" s="918">
        <f t="shared" si="13"/>
        <v>1</v>
      </c>
      <c r="P56" s="2207">
        <v>12000</v>
      </c>
      <c r="Q56" s="918">
        <f t="shared" si="14"/>
        <v>1</v>
      </c>
      <c r="R56" s="1115"/>
      <c r="S56" s="2212"/>
      <c r="AT56" s="296" t="str">
        <f t="shared" si="10"/>
        <v>421202-Adquisiciones diferentes de activos</v>
      </c>
    </row>
    <row r="57" spans="1:46" ht="15" x14ac:dyDescent="0.25">
      <c r="A57" s="965">
        <f>IF(VLOOKUP($B$8,'LISTAS PPTO'!$F$3:$I$100,4)="X","Sin Recaudo",IF(OR(VLOOKUP($B$8,'LISTAS PPTO'!$F$3:$G$100,2)="Empresa Industrial y Comercial",VLOOKUP($B$8,'LISTAS PPTO'!$F$3:$G$100,2)="Subred"),'LISTAS PPTO'!AO41,IF(OR(VLOOKUP($B$8,'LISTAS PPTO'!$F$3:$G$100,2)="Mixta",VLOOKUP($B$8,'LISTAS PPTO'!$F$3:$G$100,2)="Menor 50%"),"No Aplica",'LISTAS PPTO'!AO41)))</f>
        <v>4213</v>
      </c>
      <c r="B57" s="928" t="str">
        <f>IF(A57="Sin Recaudo","Sin Recaudo",IF(A57="No Aplica","No Aplica",IF(A57='LISTAS PPTO'!AO41,'LISTAS PPTO'!AP41,'LISTAS PPTO'!AP41)))</f>
        <v>Transferencias CORRIENTES</v>
      </c>
      <c r="C57" s="2207">
        <v>12000</v>
      </c>
      <c r="D57" s="918">
        <f t="shared" si="11"/>
        <v>1.1999999999999999E-6</v>
      </c>
      <c r="E57" s="2207">
        <v>130000</v>
      </c>
      <c r="F57" s="918">
        <f t="shared" si="12"/>
        <v>1.0833333333333334E-5</v>
      </c>
      <c r="G57" s="919">
        <f t="shared" si="7"/>
        <v>118000</v>
      </c>
      <c r="H57" s="918">
        <f t="shared" si="8"/>
        <v>0.90769230769230769</v>
      </c>
      <c r="I57" s="2210"/>
      <c r="J57" s="2207">
        <v>130000</v>
      </c>
      <c r="K57" s="2207"/>
      <c r="L57" s="2207"/>
      <c r="M57" s="919">
        <f t="shared" si="9"/>
        <v>130000</v>
      </c>
      <c r="N57" s="2207">
        <v>130000</v>
      </c>
      <c r="O57" s="918">
        <f t="shared" si="13"/>
        <v>1</v>
      </c>
      <c r="P57" s="2207">
        <v>130000</v>
      </c>
      <c r="Q57" s="918">
        <f t="shared" si="14"/>
        <v>1</v>
      </c>
      <c r="R57" s="1115"/>
      <c r="S57" s="2212"/>
      <c r="AT57" s="296" t="str">
        <f t="shared" si="10"/>
        <v>4213-Transferencias CORRIENTES</v>
      </c>
    </row>
    <row r="58" spans="1:46" ht="15" x14ac:dyDescent="0.25">
      <c r="A58" s="965">
        <f>IF(VLOOKUP($B$8,'LISTAS PPTO'!$F$3:$I$100,4)="X","Sin Recaudo",IF(OR(VLOOKUP($B$8,'LISTAS PPTO'!$F$3:$G$100,2)="Empresa Industrial y Comercial",VLOOKUP($B$8,'LISTAS PPTO'!$F$3:$G$100,2)="Subred"),'LISTAS PPTO'!AO42,IF(OR(VLOOKUP($B$8,'LISTAS PPTO'!$F$3:$G$100,2)="Mixta",VLOOKUP($B$8,'LISTAS PPTO'!$F$3:$G$100,2)="Menor 50%"),"No Aplica",'LISTAS PPTO'!AO42)))</f>
        <v>421304</v>
      </c>
      <c r="B58" s="928" t="str">
        <f>IF(A58="Sin Recaudo","Sin Recaudo",IF(A58="No Aplica","No Aplica",IF(A58='LISTAS PPTO'!AO42,'LISTAS PPTO'!AP42,'LISTAS PPTO'!AP42)))</f>
        <v>A organizaciones nacionales</v>
      </c>
      <c r="C58" s="2207">
        <v>12000</v>
      </c>
      <c r="D58" s="918">
        <f t="shared" si="11"/>
        <v>1.1999999999999999E-6</v>
      </c>
      <c r="E58" s="2207">
        <v>12000</v>
      </c>
      <c r="F58" s="918">
        <f t="shared" si="12"/>
        <v>9.9999999999999995E-7</v>
      </c>
      <c r="G58" s="919">
        <f t="shared" si="7"/>
        <v>0</v>
      </c>
      <c r="H58" s="918">
        <f t="shared" si="8"/>
        <v>0</v>
      </c>
      <c r="I58" s="2210"/>
      <c r="J58" s="2207">
        <v>12000</v>
      </c>
      <c r="K58" s="2207"/>
      <c r="L58" s="2207"/>
      <c r="M58" s="919">
        <f t="shared" si="9"/>
        <v>12000</v>
      </c>
      <c r="N58" s="2207">
        <v>12000</v>
      </c>
      <c r="O58" s="918">
        <f t="shared" si="13"/>
        <v>1</v>
      </c>
      <c r="P58" s="2207">
        <v>12000</v>
      </c>
      <c r="Q58" s="918">
        <f t="shared" si="14"/>
        <v>1</v>
      </c>
      <c r="R58" s="1115"/>
      <c r="S58" s="2212"/>
      <c r="AT58" s="296" t="str">
        <f t="shared" si="10"/>
        <v>421304-A organizaciones nacionales</v>
      </c>
    </row>
    <row r="59" spans="1:46" ht="15" x14ac:dyDescent="0.25">
      <c r="A59" s="965">
        <f>IF(VLOOKUP($B$8,'LISTAS PPTO'!$F$3:$I$100,4)="X","Sin Recaudo",IF(OR(VLOOKUP($B$8,'LISTAS PPTO'!$F$3:$G$100,2)="Empresa Industrial y Comercial",VLOOKUP($B$8,'LISTAS PPTO'!$F$3:$G$100,2)="Subred"),'LISTAS PPTO'!AO43,IF(OR(VLOOKUP($B$8,'LISTAS PPTO'!$F$3:$G$100,2)="Mixta",VLOOKUP($B$8,'LISTAS PPTO'!$F$3:$G$100,2)="Menor 50%"),"No Aplica",'LISTAS PPTO'!AO43)))</f>
        <v>421305</v>
      </c>
      <c r="B59" s="928" t="str">
        <f>IF(A59="Sin Recaudo","Sin Recaudo",IF(A59="No Aplica","No Aplica",IF(A59='LISTAS PPTO'!AO43,'LISTAS PPTO'!AP43,'LISTAS PPTO'!AP43)))</f>
        <v>A entidades del gobierno</v>
      </c>
      <c r="C59" s="2207">
        <v>12000</v>
      </c>
      <c r="D59" s="918">
        <f t="shared" si="11"/>
        <v>1.1999999999999999E-6</v>
      </c>
      <c r="E59" s="2207">
        <v>12000</v>
      </c>
      <c r="F59" s="918">
        <f t="shared" si="12"/>
        <v>9.9999999999999995E-7</v>
      </c>
      <c r="G59" s="919">
        <f t="shared" si="7"/>
        <v>0</v>
      </c>
      <c r="H59" s="918">
        <f t="shared" si="8"/>
        <v>0</v>
      </c>
      <c r="I59" s="2210"/>
      <c r="J59" s="2207">
        <v>12000</v>
      </c>
      <c r="K59" s="2207"/>
      <c r="L59" s="2207"/>
      <c r="M59" s="919">
        <f t="shared" si="9"/>
        <v>12000</v>
      </c>
      <c r="N59" s="2207">
        <v>12000</v>
      </c>
      <c r="O59" s="918">
        <f t="shared" si="13"/>
        <v>1</v>
      </c>
      <c r="P59" s="2207">
        <v>12000</v>
      </c>
      <c r="Q59" s="918">
        <f t="shared" si="14"/>
        <v>1</v>
      </c>
      <c r="R59" s="1115"/>
      <c r="S59" s="2212"/>
      <c r="AT59" s="296" t="str">
        <f t="shared" si="10"/>
        <v>421305-A entidades del gobierno</v>
      </c>
    </row>
    <row r="60" spans="1:46" ht="15" x14ac:dyDescent="0.25">
      <c r="A60" s="965">
        <f>IF(VLOOKUP($B$8,'LISTAS PPTO'!$F$3:$I$100,4)="X","Sin Recaudo",IF(OR(VLOOKUP($B$8,'LISTAS PPTO'!$F$3:$G$100,2)="Empresa Industrial y Comercial",VLOOKUP($B$8,'LISTAS PPTO'!$F$3:$G$100,2)="Subred"),'LISTAS PPTO'!AO44,IF(OR(VLOOKUP($B$8,'LISTAS PPTO'!$F$3:$G$100,2)="Mixta",VLOOKUP($B$8,'LISTAS PPTO'!$F$3:$G$100,2)="Menor 50%"),"No Aplica",'LISTAS PPTO'!AO44)))</f>
        <v>0</v>
      </c>
      <c r="B60" s="928" t="str">
        <f>IF(A60="Sin Recaudo","Sin Recaudo",IF(A60="No Aplica","No Aplica",IF(A60='LISTAS PPTO'!AO44,'LISTAS PPTO'!AP44,'LISTAS PPTO'!AP44)))</f>
        <v>Adquisición de activos financieros</v>
      </c>
      <c r="C60" s="2207">
        <v>12000</v>
      </c>
      <c r="D60" s="918">
        <f t="shared" si="11"/>
        <v>1.1999999999999999E-6</v>
      </c>
      <c r="E60" s="2207">
        <v>12000</v>
      </c>
      <c r="F60" s="918">
        <f t="shared" si="12"/>
        <v>9.9999999999999995E-7</v>
      </c>
      <c r="G60" s="919">
        <f t="shared" si="7"/>
        <v>0</v>
      </c>
      <c r="H60" s="918">
        <f t="shared" si="8"/>
        <v>0</v>
      </c>
      <c r="I60" s="2210"/>
      <c r="J60" s="2207">
        <v>12000</v>
      </c>
      <c r="K60" s="2207"/>
      <c r="L60" s="2207"/>
      <c r="M60" s="919">
        <f t="shared" si="9"/>
        <v>12000</v>
      </c>
      <c r="N60" s="2207">
        <v>12000</v>
      </c>
      <c r="O60" s="918">
        <f t="shared" si="13"/>
        <v>1</v>
      </c>
      <c r="P60" s="2207">
        <v>12000</v>
      </c>
      <c r="Q60" s="918">
        <f t="shared" si="14"/>
        <v>1</v>
      </c>
      <c r="R60" s="1115"/>
      <c r="S60" s="2212"/>
      <c r="AT60" s="296" t="str">
        <f t="shared" si="10"/>
        <v>0-Adquisición de activos financieros</v>
      </c>
    </row>
    <row r="61" spans="1:46" ht="15" x14ac:dyDescent="0.25">
      <c r="A61" s="965">
        <f>IF(VLOOKUP($B$8,'LISTAS PPTO'!$F$3:$I$100,4)="X","Sin Recaudo",IF(OR(VLOOKUP($B$8,'LISTAS PPTO'!$F$3:$G$100,2)="Empresa Industrial y Comercial",VLOOKUP($B$8,'LISTAS PPTO'!$F$3:$G$100,2)="Subred"),'LISTAS PPTO'!AO45,IF(OR(VLOOKUP($B$8,'LISTAS PPTO'!$F$3:$G$100,2)="Mixta",VLOOKUP($B$8,'LISTAS PPTO'!$F$3:$G$100,2)="Menor 50%"),"No Aplica",'LISTAS PPTO'!AO45)))</f>
        <v>421314</v>
      </c>
      <c r="B61" s="928" t="str">
        <f>IF(A61="Sin Recaudo","Sin Recaudo",IF(A61="No Aplica","No Aplica",IF(A61='LISTAS PPTO'!AO45,'LISTAS PPTO'!AP45,'LISTAS PPTO'!AP45)))</f>
        <v>Aportes al FONPET</v>
      </c>
      <c r="C61" s="2207">
        <v>12009</v>
      </c>
      <c r="D61" s="918">
        <f t="shared" si="11"/>
        <v>1.2009E-6</v>
      </c>
      <c r="E61" s="2207">
        <v>12000</v>
      </c>
      <c r="F61" s="918">
        <f t="shared" si="12"/>
        <v>9.9999999999999995E-7</v>
      </c>
      <c r="G61" s="919">
        <f t="shared" si="7"/>
        <v>-9</v>
      </c>
      <c r="H61" s="918">
        <f t="shared" si="8"/>
        <v>-7.5000000000000002E-4</v>
      </c>
      <c r="I61" s="2210"/>
      <c r="J61" s="2207">
        <v>12000</v>
      </c>
      <c r="K61" s="2207"/>
      <c r="L61" s="2207"/>
      <c r="M61" s="919">
        <f t="shared" si="9"/>
        <v>12000</v>
      </c>
      <c r="N61" s="2207">
        <v>12000</v>
      </c>
      <c r="O61" s="918">
        <f t="shared" si="13"/>
        <v>1</v>
      </c>
      <c r="P61" s="2207">
        <v>12000</v>
      </c>
      <c r="Q61" s="918">
        <f t="shared" si="14"/>
        <v>1</v>
      </c>
      <c r="R61" s="1115"/>
      <c r="S61" s="2212"/>
      <c r="AT61" s="296" t="str">
        <f t="shared" si="10"/>
        <v>421314-Aportes al FONPET</v>
      </c>
    </row>
    <row r="62" spans="1:46" ht="15" x14ac:dyDescent="0.25">
      <c r="A62" s="965">
        <f>IF(VLOOKUP($B$8,'LISTAS PPTO'!$F$3:$I$100,4)="X","Sin Recaudo",IF(OR(VLOOKUP($B$8,'LISTAS PPTO'!$F$3:$G$100,2)="Empresa Industrial y Comercial",VLOOKUP($B$8,'LISTAS PPTO'!$F$3:$G$100,2)="Subred"),'LISTAS PPTO'!AO46,IF(OR(VLOOKUP($B$8,'LISTAS PPTO'!$F$3:$G$100,2)="Mixta",VLOOKUP($B$8,'LISTAS PPTO'!$F$3:$G$100,2)="Menor 50%"),"No Aplica",'LISTAS PPTO'!AO46)))</f>
        <v>4217</v>
      </c>
      <c r="B62" s="928" t="str">
        <f>IF(A62="Sin Recaudo","Sin Recaudo",IF(A62="No Aplica","No Aplica",IF(A62='LISTAS PPTO'!AO46,'LISTAS PPTO'!AP46,'LISTAS PPTO'!AP46)))</f>
        <v>Disminución de Pasivos</v>
      </c>
      <c r="C62" s="2207">
        <v>12010</v>
      </c>
      <c r="D62" s="918">
        <f t="shared" si="11"/>
        <v>1.201E-6</v>
      </c>
      <c r="E62" s="2207">
        <v>12000</v>
      </c>
      <c r="F62" s="918">
        <f t="shared" si="12"/>
        <v>9.9999999999999995E-7</v>
      </c>
      <c r="G62" s="919">
        <f t="shared" si="7"/>
        <v>-10</v>
      </c>
      <c r="H62" s="918">
        <f t="shared" si="8"/>
        <v>-8.3333333333333339E-4</v>
      </c>
      <c r="I62" s="2210"/>
      <c r="J62" s="2207">
        <v>12000</v>
      </c>
      <c r="K62" s="2207"/>
      <c r="L62" s="2207"/>
      <c r="M62" s="919">
        <f t="shared" si="9"/>
        <v>12000</v>
      </c>
      <c r="N62" s="2207">
        <v>12000</v>
      </c>
      <c r="O62" s="918">
        <f t="shared" si="13"/>
        <v>1</v>
      </c>
      <c r="P62" s="2207">
        <v>12000</v>
      </c>
      <c r="Q62" s="918">
        <f t="shared" si="14"/>
        <v>1</v>
      </c>
      <c r="R62" s="1115"/>
      <c r="S62" s="2212"/>
      <c r="AT62" s="296" t="str">
        <f t="shared" si="10"/>
        <v>4217-Disminución de Pasivos</v>
      </c>
    </row>
    <row r="63" spans="1:46" ht="18.75" customHeight="1" x14ac:dyDescent="0.25">
      <c r="A63" s="965">
        <f>IF(VLOOKUP($B$8,'LISTAS PPTO'!$F$3:$I$100,4)="X","Sin Recaudo",IF(OR(VLOOKUP($B$8,'LISTAS PPTO'!$F$3:$G$100,2)="Empresa Industrial y Comercial",VLOOKUP($B$8,'LISTAS PPTO'!$F$3:$G$100,2)="Subred"),'LISTAS PPTO'!AO47,IF(OR(VLOOKUP($B$8,'LISTAS PPTO'!$F$3:$G$100,2)="Mixta",VLOOKUP($B$8,'LISTAS PPTO'!$F$3:$G$100,2)="Menor 50%"),"No Aplica",'LISTAS PPTO'!AO47)))</f>
        <v>4218</v>
      </c>
      <c r="B63" s="928" t="str">
        <f>IF(A63="Sin Recaudo","Sin Recaudo",IF(A63="No Aplica","No Aplica",IF(A63='LISTAS PPTO'!AO47,'LISTAS PPTO'!AP47,'LISTAS PPTO'!AP47)))</f>
        <v>Gastos por tributos, tasas, contribuciones, multas, sanciones e intereses de mora</v>
      </c>
      <c r="C63" s="2207">
        <v>12000</v>
      </c>
      <c r="D63" s="918">
        <f t="shared" si="11"/>
        <v>1.1999999999999999E-6</v>
      </c>
      <c r="E63" s="2207">
        <v>12000</v>
      </c>
      <c r="F63" s="918">
        <f t="shared" si="12"/>
        <v>9.9999999999999995E-7</v>
      </c>
      <c r="G63" s="919">
        <f t="shared" si="7"/>
        <v>0</v>
      </c>
      <c r="H63" s="918">
        <f t="shared" si="8"/>
        <v>0</v>
      </c>
      <c r="I63" s="2210"/>
      <c r="J63" s="2207">
        <v>12000</v>
      </c>
      <c r="K63" s="2207"/>
      <c r="L63" s="2207"/>
      <c r="M63" s="919">
        <f t="shared" si="9"/>
        <v>12000</v>
      </c>
      <c r="N63" s="2207">
        <v>12000</v>
      </c>
      <c r="O63" s="918">
        <f t="shared" si="13"/>
        <v>1</v>
      </c>
      <c r="P63" s="2207">
        <v>12000</v>
      </c>
      <c r="Q63" s="918">
        <f t="shared" si="14"/>
        <v>1</v>
      </c>
      <c r="R63" s="1115"/>
      <c r="S63" s="2212"/>
      <c r="AT63" s="296" t="str">
        <f t="shared" si="10"/>
        <v>4218-Gastos por tributos, tasas, contribuciones, multas, sanciones e intereses de mora</v>
      </c>
    </row>
    <row r="64" spans="1:46" s="781" customFormat="1" ht="15" x14ac:dyDescent="0.25">
      <c r="A64" s="966">
        <f>IF(VLOOKUP($B$8,'LISTAS PPTO'!$F$3:$I$100,4)="X","Sin Recaudo",IF(OR(VLOOKUP($B$8,'LISTAS PPTO'!$F$3:$G$100,2)="Empresa Industrial y Comercial",VLOOKUP($B$8,'LISTAS PPTO'!$F$3:$G$100,2)="Subred"),'LISTAS PPTO'!AO48,IF(OR(VLOOKUP($B$8,'LISTAS PPTO'!$F$3:$G$100,2)="Mixta",VLOOKUP($B$8,'LISTAS PPTO'!$F$3:$G$100,2)="Menor 50%"),"No Aplica",'LISTAS PPTO'!AO48)))</f>
        <v>422</v>
      </c>
      <c r="B64" s="805" t="str">
        <f>IF(A64="Sin Recaudo","Sin Recaudo",IF(A64="No Aplica","No Aplica",IF(A64='LISTAS PPTO'!AO48,'LISTAS PPTO'!AP48,'LISTAS PPTO'!AP48)))</f>
        <v>SERVICIO DE LA DEUDA PÚBLICA</v>
      </c>
      <c r="C64" s="2206">
        <v>12001</v>
      </c>
      <c r="D64" s="914">
        <f t="shared" si="11"/>
        <v>1.2001E-6</v>
      </c>
      <c r="E64" s="2206">
        <v>12001</v>
      </c>
      <c r="F64" s="914">
        <f t="shared" si="12"/>
        <v>1.0000833333333333E-6</v>
      </c>
      <c r="G64" s="915">
        <f t="shared" si="7"/>
        <v>0</v>
      </c>
      <c r="H64" s="914">
        <f t="shared" si="8"/>
        <v>0</v>
      </c>
      <c r="I64" s="2209"/>
      <c r="J64" s="2206">
        <v>12001</v>
      </c>
      <c r="K64" s="2206"/>
      <c r="L64" s="2206"/>
      <c r="M64" s="915">
        <f t="shared" si="9"/>
        <v>12001</v>
      </c>
      <c r="N64" s="2206">
        <v>12001</v>
      </c>
      <c r="O64" s="914">
        <f t="shared" si="13"/>
        <v>1</v>
      </c>
      <c r="P64" s="2206">
        <v>12001</v>
      </c>
      <c r="Q64" s="914">
        <f t="shared" si="14"/>
        <v>1</v>
      </c>
      <c r="R64" s="1115"/>
      <c r="S64" s="2211"/>
      <c r="AT64" s="775" t="str">
        <f t="shared" si="10"/>
        <v>422-SERVICIO DE LA DEUDA PÚBLICA</v>
      </c>
    </row>
    <row r="65" spans="1:46" ht="15" x14ac:dyDescent="0.25">
      <c r="A65" s="965">
        <f>IF(VLOOKUP($B$8,'LISTAS PPTO'!$F$3:$I$100,4)="X","Sin Recaudo",IF(OR(VLOOKUP($B$8,'LISTAS PPTO'!$F$3:$G$100,2)="Empresa Industrial y Comercial",VLOOKUP($B$8,'LISTAS PPTO'!$F$3:$G$100,2)="Subred"),'LISTAS PPTO'!AO49,IF(OR(VLOOKUP($B$8,'LISTAS PPTO'!$F$3:$G$100,2)="Mixta",VLOOKUP($B$8,'LISTAS PPTO'!$F$3:$G$100,2)="Menor 50%"),"No Aplica",'LISTAS PPTO'!AO49)))</f>
        <v>4221</v>
      </c>
      <c r="B65" s="928" t="str">
        <f>IF(A65="Sin Recaudo","Sin Recaudo",IF(A65="No Aplica","No Aplica",IF(A65='LISTAS PPTO'!AO49,'LISTAS PPTO'!AP49,'LISTAS PPTO'!AP49)))</f>
        <v>Servicios de la deuda pública externa</v>
      </c>
      <c r="C65" s="2207">
        <v>12002</v>
      </c>
      <c r="D65" s="918">
        <f t="shared" si="11"/>
        <v>1.2002E-6</v>
      </c>
      <c r="E65" s="2207">
        <v>12002</v>
      </c>
      <c r="F65" s="918">
        <f t="shared" si="12"/>
        <v>1.0001666666666666E-6</v>
      </c>
      <c r="G65" s="919">
        <f t="shared" si="7"/>
        <v>0</v>
      </c>
      <c r="H65" s="918">
        <f t="shared" si="8"/>
        <v>0</v>
      </c>
      <c r="I65" s="2210"/>
      <c r="J65" s="2207">
        <v>12002</v>
      </c>
      <c r="K65" s="2207"/>
      <c r="L65" s="2207"/>
      <c r="M65" s="919">
        <f t="shared" si="9"/>
        <v>12002</v>
      </c>
      <c r="N65" s="2207">
        <v>12002</v>
      </c>
      <c r="O65" s="918">
        <f t="shared" si="13"/>
        <v>1</v>
      </c>
      <c r="P65" s="2207">
        <v>12002</v>
      </c>
      <c r="Q65" s="918">
        <f t="shared" si="14"/>
        <v>1</v>
      </c>
      <c r="R65" s="1115"/>
      <c r="S65" s="2212"/>
      <c r="AT65" s="296" t="str">
        <f t="shared" si="10"/>
        <v>4221-Servicios de la deuda pública externa</v>
      </c>
    </row>
    <row r="66" spans="1:46" ht="15" x14ac:dyDescent="0.25">
      <c r="A66" s="965">
        <f>IF(VLOOKUP($B$8,'LISTAS PPTO'!$F$3:$I$100,4)="X","Sin Recaudo",IF(OR(VLOOKUP($B$8,'LISTAS PPTO'!$F$3:$G$100,2)="Empresa Industrial y Comercial",VLOOKUP($B$8,'LISTAS PPTO'!$F$3:$G$100,2)="Subred"),'LISTAS PPTO'!AO50,IF(OR(VLOOKUP($B$8,'LISTAS PPTO'!$F$3:$G$100,2)="Mixta",VLOOKUP($B$8,'LISTAS PPTO'!$F$3:$G$100,2)="Menor 50%"),"No Aplica",'LISTAS PPTO'!AO50)))</f>
        <v>422101</v>
      </c>
      <c r="B66" s="928" t="str">
        <f>IF(A66="Sin Recaudo","Sin Recaudo",IF(A66="No Aplica","No Aplica",IF(A66='LISTAS PPTO'!AO50,'LISTAS PPTO'!AP50,'LISTAS PPTO'!AP50)))</f>
        <v>Principal</v>
      </c>
      <c r="C66" s="2207">
        <v>12003</v>
      </c>
      <c r="D66" s="918">
        <f t="shared" si="11"/>
        <v>1.2003E-6</v>
      </c>
      <c r="E66" s="2207">
        <v>12003</v>
      </c>
      <c r="F66" s="918">
        <f t="shared" si="12"/>
        <v>1.0002500000000001E-6</v>
      </c>
      <c r="G66" s="919">
        <f t="shared" si="7"/>
        <v>0</v>
      </c>
      <c r="H66" s="918">
        <f t="shared" si="8"/>
        <v>0</v>
      </c>
      <c r="I66" s="2210"/>
      <c r="J66" s="2207">
        <v>12003</v>
      </c>
      <c r="K66" s="2207"/>
      <c r="L66" s="2207"/>
      <c r="M66" s="919">
        <f t="shared" si="9"/>
        <v>12003</v>
      </c>
      <c r="N66" s="2207">
        <v>12003</v>
      </c>
      <c r="O66" s="918">
        <f t="shared" si="13"/>
        <v>1</v>
      </c>
      <c r="P66" s="2207">
        <v>12003</v>
      </c>
      <c r="Q66" s="918">
        <f t="shared" si="14"/>
        <v>1</v>
      </c>
      <c r="R66" s="1115"/>
      <c r="S66" s="2212"/>
      <c r="AT66" s="296" t="str">
        <f t="shared" si="10"/>
        <v>422101-Principal</v>
      </c>
    </row>
    <row r="67" spans="1:46" ht="15" x14ac:dyDescent="0.25">
      <c r="A67" s="965">
        <f>IF(VLOOKUP($B$8,'LISTAS PPTO'!$F$3:$I$100,4)="X","Sin Recaudo",IF(OR(VLOOKUP($B$8,'LISTAS PPTO'!$F$3:$G$100,2)="Empresa Industrial y Comercial",VLOOKUP($B$8,'LISTAS PPTO'!$F$3:$G$100,2)="Subred"),'LISTAS PPTO'!AO51,IF(OR(VLOOKUP($B$8,'LISTAS PPTO'!$F$3:$G$100,2)="Mixta",VLOOKUP($B$8,'LISTAS PPTO'!$F$3:$G$100,2)="Menor 50%"),"No Aplica",'LISTAS PPTO'!AO51)))</f>
        <v>422102</v>
      </c>
      <c r="B67" s="928" t="str">
        <f>IF(A67="Sin Recaudo","Sin Recaudo",IF(A67="No Aplica","No Aplica",IF(A67='LISTAS PPTO'!AO51,'LISTAS PPTO'!AP51,'LISTAS PPTO'!AP51)))</f>
        <v>Intereses</v>
      </c>
      <c r="C67" s="2207">
        <v>12004</v>
      </c>
      <c r="D67" s="918">
        <f t="shared" si="11"/>
        <v>1.2004E-6</v>
      </c>
      <c r="E67" s="2207">
        <v>12004</v>
      </c>
      <c r="F67" s="918">
        <f t="shared" si="12"/>
        <v>1.0003333333333334E-6</v>
      </c>
      <c r="G67" s="919">
        <f t="shared" si="7"/>
        <v>0</v>
      </c>
      <c r="H67" s="918">
        <f t="shared" si="8"/>
        <v>0</v>
      </c>
      <c r="I67" s="2210"/>
      <c r="J67" s="2207">
        <v>12004</v>
      </c>
      <c r="K67" s="2207"/>
      <c r="L67" s="2207"/>
      <c r="M67" s="919">
        <f t="shared" si="9"/>
        <v>12004</v>
      </c>
      <c r="N67" s="2207">
        <v>12004</v>
      </c>
      <c r="O67" s="918">
        <f t="shared" si="13"/>
        <v>1</v>
      </c>
      <c r="P67" s="2207">
        <v>12004</v>
      </c>
      <c r="Q67" s="918">
        <f t="shared" si="14"/>
        <v>1</v>
      </c>
      <c r="R67" s="1115"/>
      <c r="S67" s="2212"/>
      <c r="AT67" s="296" t="str">
        <f t="shared" si="10"/>
        <v>422102-Intereses</v>
      </c>
    </row>
    <row r="68" spans="1:46" ht="15" x14ac:dyDescent="0.25">
      <c r="A68" s="965">
        <f>IF(VLOOKUP($B$8,'LISTAS PPTO'!$F$3:$I$100,4)="X","Sin Recaudo",IF(OR(VLOOKUP($B$8,'LISTAS PPTO'!$F$3:$G$100,2)="Empresa Industrial y Comercial",VLOOKUP($B$8,'LISTAS PPTO'!$F$3:$G$100,2)="Subred"),'LISTAS PPTO'!AO52,IF(OR(VLOOKUP($B$8,'LISTAS PPTO'!$F$3:$G$100,2)="Mixta",VLOOKUP($B$8,'LISTAS PPTO'!$F$3:$G$100,2)="Menor 50%"),"No Aplica",'LISTAS PPTO'!AO52)))</f>
        <v>4222</v>
      </c>
      <c r="B68" s="928" t="str">
        <f>IF(A68="Sin Recaudo","Sin Recaudo",IF(A68="No Aplica","No Aplica",IF(A68='LISTAS PPTO'!AO52,'LISTAS PPTO'!AP52,'LISTAS PPTO'!AP52)))</f>
        <v>Servicios de la deuda pública interna</v>
      </c>
      <c r="C68" s="2207">
        <v>12005</v>
      </c>
      <c r="D68" s="918">
        <f t="shared" si="11"/>
        <v>1.2005E-6</v>
      </c>
      <c r="E68" s="2207">
        <v>12005</v>
      </c>
      <c r="F68" s="918">
        <f t="shared" si="12"/>
        <v>1.0004166666666667E-6</v>
      </c>
      <c r="G68" s="919">
        <f t="shared" si="7"/>
        <v>0</v>
      </c>
      <c r="H68" s="918">
        <f t="shared" si="8"/>
        <v>0</v>
      </c>
      <c r="I68" s="2210"/>
      <c r="J68" s="2207">
        <v>12005</v>
      </c>
      <c r="K68" s="2207"/>
      <c r="L68" s="2207"/>
      <c r="M68" s="919">
        <f t="shared" si="9"/>
        <v>12005</v>
      </c>
      <c r="N68" s="2207">
        <v>12005</v>
      </c>
      <c r="O68" s="918">
        <f t="shared" si="13"/>
        <v>1</v>
      </c>
      <c r="P68" s="2207">
        <v>12005</v>
      </c>
      <c r="Q68" s="918">
        <f t="shared" si="14"/>
        <v>1</v>
      </c>
      <c r="R68" s="1115"/>
      <c r="S68" s="2212"/>
      <c r="AT68" s="296" t="str">
        <f t="shared" si="10"/>
        <v>4222-Servicios de la deuda pública interna</v>
      </c>
    </row>
    <row r="69" spans="1:46" ht="15" x14ac:dyDescent="0.25">
      <c r="A69" s="965">
        <f>IF(VLOOKUP($B$8,'LISTAS PPTO'!$F$3:$I$100,4)="X","Sin Recaudo",IF(OR(VLOOKUP($B$8,'LISTAS PPTO'!$F$3:$G$100,2)="Empresa Industrial y Comercial",VLOOKUP($B$8,'LISTAS PPTO'!$F$3:$G$100,2)="Subred"),'LISTAS PPTO'!AO53,IF(OR(VLOOKUP($B$8,'LISTAS PPTO'!$F$3:$G$100,2)="Mixta",VLOOKUP($B$8,'LISTAS PPTO'!$F$3:$G$100,2)="Menor 50%"),"No Aplica",'LISTAS PPTO'!AO53)))</f>
        <v>422201</v>
      </c>
      <c r="B69" s="928" t="str">
        <f>IF(A69="Sin Recaudo","Sin Recaudo",IF(A69="No Aplica","No Aplica",IF(A69='LISTAS PPTO'!AO53,'LISTAS PPTO'!AP53,'LISTAS PPTO'!AP53)))</f>
        <v>Principal</v>
      </c>
      <c r="C69" s="2207">
        <v>12006</v>
      </c>
      <c r="D69" s="918">
        <f t="shared" si="11"/>
        <v>1.2006E-6</v>
      </c>
      <c r="E69" s="2207">
        <v>12006</v>
      </c>
      <c r="F69" s="918">
        <f t="shared" si="12"/>
        <v>1.0005E-6</v>
      </c>
      <c r="G69" s="919">
        <f t="shared" si="7"/>
        <v>0</v>
      </c>
      <c r="H69" s="918">
        <f t="shared" si="8"/>
        <v>0</v>
      </c>
      <c r="I69" s="2210"/>
      <c r="J69" s="2207">
        <v>12006</v>
      </c>
      <c r="K69" s="2207"/>
      <c r="L69" s="2207"/>
      <c r="M69" s="919">
        <f t="shared" si="9"/>
        <v>12006</v>
      </c>
      <c r="N69" s="2207">
        <v>12006</v>
      </c>
      <c r="O69" s="918">
        <f t="shared" si="13"/>
        <v>1</v>
      </c>
      <c r="P69" s="2207">
        <v>12006</v>
      </c>
      <c r="Q69" s="918">
        <f t="shared" si="14"/>
        <v>1</v>
      </c>
      <c r="R69" s="1115"/>
      <c r="S69" s="2212"/>
      <c r="AT69" s="296" t="str">
        <f t="shared" si="10"/>
        <v>422201-Principal</v>
      </c>
    </row>
    <row r="70" spans="1:46" ht="15" x14ac:dyDescent="0.25">
      <c r="A70" s="965">
        <f>IF(VLOOKUP($B$8,'LISTAS PPTO'!$F$3:$I$100,4)="X","Sin Recaudo",IF(OR(VLOOKUP($B$8,'LISTAS PPTO'!$F$3:$G$100,2)="Empresa Industrial y Comercial",VLOOKUP($B$8,'LISTAS PPTO'!$F$3:$G$100,2)="Subred"),'LISTAS PPTO'!AO54,IF(OR(VLOOKUP($B$8,'LISTAS PPTO'!$F$3:$G$100,2)="Mixta",VLOOKUP($B$8,'LISTAS PPTO'!$F$3:$G$100,2)="Menor 50%"),"No Aplica",'LISTAS PPTO'!AO54)))</f>
        <v>422202</v>
      </c>
      <c r="B70" s="928" t="str">
        <f>IF(A70="Sin Recaudo","Sin Recaudo",IF(A70="No Aplica","No Aplica",IF(A70='LISTAS PPTO'!AO54,'LISTAS PPTO'!AP54,'LISTAS PPTO'!AP54)))</f>
        <v>Intereses</v>
      </c>
      <c r="C70" s="2207">
        <v>12007</v>
      </c>
      <c r="D70" s="918">
        <f t="shared" si="11"/>
        <v>1.2007E-6</v>
      </c>
      <c r="E70" s="2207">
        <v>12007</v>
      </c>
      <c r="F70" s="918">
        <f t="shared" si="12"/>
        <v>1.0005833333333333E-6</v>
      </c>
      <c r="G70" s="919">
        <f t="shared" si="7"/>
        <v>0</v>
      </c>
      <c r="H70" s="918">
        <f t="shared" si="8"/>
        <v>0</v>
      </c>
      <c r="I70" s="2210"/>
      <c r="J70" s="2207">
        <v>12007</v>
      </c>
      <c r="K70" s="2207"/>
      <c r="L70" s="2207"/>
      <c r="M70" s="919">
        <f t="shared" si="9"/>
        <v>12007</v>
      </c>
      <c r="N70" s="2207">
        <v>12007</v>
      </c>
      <c r="O70" s="918">
        <f t="shared" si="13"/>
        <v>1</v>
      </c>
      <c r="P70" s="2207">
        <v>12007</v>
      </c>
      <c r="Q70" s="918">
        <f t="shared" si="14"/>
        <v>1</v>
      </c>
      <c r="R70" s="1115"/>
      <c r="S70" s="2212"/>
      <c r="AT70" s="296" t="str">
        <f t="shared" si="10"/>
        <v>422202-Intereses</v>
      </c>
    </row>
    <row r="71" spans="1:46" ht="15" x14ac:dyDescent="0.25">
      <c r="A71" s="965">
        <f>IF(VLOOKUP($B$8,'LISTAS PPTO'!$F$3:$I$100,4)="X","Sin Recaudo",IF(OR(VLOOKUP($B$8,'LISTAS PPTO'!$F$3:$G$100,2)="Empresa Industrial y Comercial",VLOOKUP($B$8,'LISTAS PPTO'!$F$3:$G$100,2)="Subred"),'LISTAS PPTO'!AO55,IF(OR(VLOOKUP($B$8,'LISTAS PPTO'!$F$3:$G$100,2)="Mixta",VLOOKUP($B$8,'LISTAS PPTO'!$F$3:$G$100,2)="Menor 50%"),"No Aplica",'LISTAS PPTO'!AO55)))</f>
        <v>422203</v>
      </c>
      <c r="B71" s="928" t="str">
        <f>IF(A71="Sin Recaudo","Sin Recaudo",IF(A71="No Aplica","No Aplica",IF(A71='LISTAS PPTO'!AO55,'LISTAS PPTO'!AP55,'LISTAS PPTO'!AP55)))</f>
        <v>Comisiones y otros GASTOS</v>
      </c>
      <c r="C71" s="2207">
        <v>12008</v>
      </c>
      <c r="D71" s="918">
        <f t="shared" si="11"/>
        <v>1.2008E-6</v>
      </c>
      <c r="E71" s="2207">
        <v>12008</v>
      </c>
      <c r="F71" s="918">
        <f t="shared" si="12"/>
        <v>1.0006666666666666E-6</v>
      </c>
      <c r="G71" s="919">
        <f t="shared" si="7"/>
        <v>0</v>
      </c>
      <c r="H71" s="918">
        <f t="shared" si="8"/>
        <v>0</v>
      </c>
      <c r="I71" s="2210"/>
      <c r="J71" s="2207">
        <v>12008</v>
      </c>
      <c r="K71" s="2207"/>
      <c r="L71" s="2207"/>
      <c r="M71" s="919">
        <f t="shared" si="9"/>
        <v>12008</v>
      </c>
      <c r="N71" s="2207">
        <v>12008</v>
      </c>
      <c r="O71" s="918">
        <f t="shared" si="13"/>
        <v>1</v>
      </c>
      <c r="P71" s="2207">
        <v>12008</v>
      </c>
      <c r="Q71" s="918">
        <f t="shared" si="14"/>
        <v>1</v>
      </c>
      <c r="R71" s="1115"/>
      <c r="S71" s="2212"/>
      <c r="AT71" s="296" t="str">
        <f t="shared" si="10"/>
        <v>422203-Comisiones y otros GASTOS</v>
      </c>
    </row>
    <row r="72" spans="1:46" s="781" customFormat="1" ht="15" x14ac:dyDescent="0.25">
      <c r="A72" s="966">
        <f>IF(VLOOKUP($B$8,'LISTAS PPTO'!$F$3:$I$100,4)="X","Sin Recaudo",IF(OR(VLOOKUP($B$8,'LISTAS PPTO'!$F$3:$G$100,2)="Empresa Industrial y Comercial",VLOOKUP($B$8,'LISTAS PPTO'!$F$3:$G$100,2)="Subred"),'LISTAS PPTO'!AO56,IF(OR(VLOOKUP($B$8,'LISTAS PPTO'!$F$3:$G$100,2)="Mixta",VLOOKUP($B$8,'LISTAS PPTO'!$F$3:$G$100,2)="Menor 50%"),"No Aplica",'LISTAS PPTO'!AO56)))</f>
        <v>423</v>
      </c>
      <c r="B72" s="805" t="str">
        <f>IF(A72="Sin Recaudo","Sin Recaudo",IF(A72="No Aplica","No Aplica",IF(A72='LISTAS PPTO'!AO56,'LISTAS PPTO'!AP56,'LISTAS PPTO'!AP56)))</f>
        <v>INVERSIÓN</v>
      </c>
      <c r="C72" s="2206">
        <v>12009</v>
      </c>
      <c r="D72" s="914">
        <f t="shared" si="11"/>
        <v>1.2009E-6</v>
      </c>
      <c r="E72" s="2206">
        <v>12009</v>
      </c>
      <c r="F72" s="914">
        <f t="shared" si="12"/>
        <v>1.0007499999999999E-6</v>
      </c>
      <c r="G72" s="915">
        <f t="shared" si="7"/>
        <v>0</v>
      </c>
      <c r="H72" s="914">
        <f t="shared" si="8"/>
        <v>0</v>
      </c>
      <c r="I72" s="2209"/>
      <c r="J72" s="2206">
        <v>12009</v>
      </c>
      <c r="K72" s="2206"/>
      <c r="L72" s="2206"/>
      <c r="M72" s="915">
        <f t="shared" si="9"/>
        <v>12009</v>
      </c>
      <c r="N72" s="2206">
        <v>12009</v>
      </c>
      <c r="O72" s="914">
        <f t="shared" si="13"/>
        <v>1</v>
      </c>
      <c r="P72" s="2206">
        <v>12009</v>
      </c>
      <c r="Q72" s="914">
        <f t="shared" si="14"/>
        <v>1</v>
      </c>
      <c r="R72" s="1115"/>
      <c r="S72" s="2211"/>
      <c r="AT72" s="775" t="str">
        <f t="shared" si="10"/>
        <v>423-INVERSIÓN</v>
      </c>
    </row>
    <row r="73" spans="1:46" ht="15" x14ac:dyDescent="0.25">
      <c r="A73" s="965">
        <f>IF(VLOOKUP($B$8,'LISTAS PPTO'!$F$3:$I$100,4)="X","Sin Recaudo",IF(OR(VLOOKUP($B$8,'LISTAS PPTO'!$F$3:$G$100,2)="Empresa Industrial y Comercial",VLOOKUP($B$8,'LISTAS PPTO'!$F$3:$G$100,2)="Subred"),'LISTAS PPTO'!AO57,IF(OR(VLOOKUP($B$8,'LISTAS PPTO'!$F$3:$G$100,2)="Mixta",VLOOKUP($B$8,'LISTAS PPTO'!$F$3:$G$100,2)="Menor 50%"),"No Aplica",'LISTAS PPTO'!AO57)))</f>
        <v>42301</v>
      </c>
      <c r="B73" s="928" t="str">
        <f>IF(A73="Sin Recaudo","Sin Recaudo",IF(A73="No Aplica","No Aplica",IF(A73='LISTAS PPTO'!AO57,'LISTAS PPTO'!AP57,'LISTAS PPTO'!AP57)))</f>
        <v>Directa</v>
      </c>
      <c r="C73" s="2207">
        <v>12010</v>
      </c>
      <c r="D73" s="918">
        <f t="shared" si="11"/>
        <v>1.201E-6</v>
      </c>
      <c r="E73" s="2207">
        <v>12010</v>
      </c>
      <c r="F73" s="918">
        <f t="shared" si="12"/>
        <v>1.0008333333333334E-6</v>
      </c>
      <c r="G73" s="919">
        <f t="shared" si="7"/>
        <v>0</v>
      </c>
      <c r="H73" s="918">
        <f t="shared" si="8"/>
        <v>0</v>
      </c>
      <c r="I73" s="2210"/>
      <c r="J73" s="2207">
        <v>12010</v>
      </c>
      <c r="K73" s="2207"/>
      <c r="L73" s="2207"/>
      <c r="M73" s="919">
        <f t="shared" si="9"/>
        <v>12010</v>
      </c>
      <c r="N73" s="2207">
        <v>12010</v>
      </c>
      <c r="O73" s="918">
        <f t="shared" si="13"/>
        <v>1</v>
      </c>
      <c r="P73" s="2207">
        <v>12010</v>
      </c>
      <c r="Q73" s="918">
        <f t="shared" si="14"/>
        <v>1</v>
      </c>
      <c r="R73" s="1115"/>
      <c r="S73" s="2212"/>
      <c r="AT73" s="296" t="str">
        <f t="shared" si="10"/>
        <v>42301-Directa</v>
      </c>
    </row>
    <row r="74" spans="1:46" ht="15" x14ac:dyDescent="0.25">
      <c r="A74" s="965">
        <f>IF(VLOOKUP($B$8,'LISTAS PPTO'!$F$3:$I$100,4)="X","Sin Recaudo",IF(OR(VLOOKUP($B$8,'LISTAS PPTO'!$F$3:$G$100,2)="Empresa Industrial y Comercial",VLOOKUP($B$8,'LISTAS PPTO'!$F$3:$G$100,2)="Subred"),'LISTAS PPTO'!AO58,IF(OR(VLOOKUP($B$8,'LISTAS PPTO'!$F$3:$G$100,2)="Mixta",VLOOKUP($B$8,'LISTAS PPTO'!$F$3:$G$100,2)="Menor 50%"),"No Aplica",'LISTAS PPTO'!AO58)))</f>
        <v>4233</v>
      </c>
      <c r="B74" s="928" t="str">
        <f>IF(A74="Sin Recaudo","Sin Recaudo",IF(A74="No Aplica","No Aplica",IF(A74='LISTAS PPTO'!AO58,'LISTAS PPTO'!AP58,'LISTAS PPTO'!AP58)))</f>
        <v>Transferencias CORRIENTES</v>
      </c>
      <c r="C74" s="2207">
        <v>12011</v>
      </c>
      <c r="D74" s="918">
        <f t="shared" si="11"/>
        <v>1.2011E-6</v>
      </c>
      <c r="E74" s="2207">
        <v>12011</v>
      </c>
      <c r="F74" s="918">
        <f t="shared" si="12"/>
        <v>1.0009166666666667E-6</v>
      </c>
      <c r="G74" s="919">
        <f t="shared" si="7"/>
        <v>0</v>
      </c>
      <c r="H74" s="918">
        <f t="shared" si="8"/>
        <v>0</v>
      </c>
      <c r="I74" s="2210"/>
      <c r="J74" s="2207">
        <v>12011</v>
      </c>
      <c r="K74" s="2207"/>
      <c r="L74" s="2207"/>
      <c r="M74" s="919">
        <f t="shared" si="9"/>
        <v>12011</v>
      </c>
      <c r="N74" s="2207">
        <v>12011</v>
      </c>
      <c r="O74" s="918">
        <f t="shared" si="13"/>
        <v>1</v>
      </c>
      <c r="P74" s="2207">
        <v>12011</v>
      </c>
      <c r="Q74" s="918">
        <f t="shared" si="14"/>
        <v>1</v>
      </c>
      <c r="R74" s="1115"/>
      <c r="S74" s="2212"/>
      <c r="AT74" s="296" t="str">
        <f t="shared" si="10"/>
        <v>4233-Transferencias CORRIENTES</v>
      </c>
    </row>
    <row r="75" spans="1:46" ht="15" x14ac:dyDescent="0.25">
      <c r="A75" s="965">
        <f>IF(VLOOKUP($B$8,'LISTAS PPTO'!$F$3:$I$100,4)="X","Sin Recaudo",IF(OR(VLOOKUP($B$8,'LISTAS PPTO'!$F$3:$G$100,2)="Empresa Industrial y Comercial",VLOOKUP($B$8,'LISTAS PPTO'!$F$3:$G$100,2)="Subred"),'LISTAS PPTO'!AO59,IF(OR(VLOOKUP($B$8,'LISTAS PPTO'!$F$3:$G$100,2)="Mixta",VLOOKUP($B$8,'LISTAS PPTO'!$F$3:$G$100,2)="Menor 50%"),"No Aplica",'LISTAS PPTO'!AO59)))</f>
        <v>423301</v>
      </c>
      <c r="B75" s="928" t="str">
        <f>IF(A75="Sin Recaudo","Sin Recaudo",IF(A75="No Aplica","No Aplica",IF(A75='LISTAS PPTO'!AO59,'LISTAS PPTO'!AP59,'LISTAS PPTO'!AP59)))</f>
        <v>Subvenciones</v>
      </c>
      <c r="C75" s="2207">
        <v>12012</v>
      </c>
      <c r="D75" s="918">
        <f t="shared" si="11"/>
        <v>1.2012E-6</v>
      </c>
      <c r="E75" s="2207">
        <v>12012</v>
      </c>
      <c r="F75" s="918">
        <f t="shared" si="12"/>
        <v>1.001E-6</v>
      </c>
      <c r="G75" s="919">
        <f t="shared" si="7"/>
        <v>0</v>
      </c>
      <c r="H75" s="918">
        <f t="shared" si="8"/>
        <v>0</v>
      </c>
      <c r="I75" s="2210"/>
      <c r="J75" s="2207">
        <v>12012</v>
      </c>
      <c r="K75" s="2207"/>
      <c r="L75" s="2207"/>
      <c r="M75" s="919">
        <f t="shared" si="9"/>
        <v>12012</v>
      </c>
      <c r="N75" s="2207">
        <v>12012</v>
      </c>
      <c r="O75" s="918">
        <f t="shared" si="13"/>
        <v>1</v>
      </c>
      <c r="P75" s="2207">
        <v>12012</v>
      </c>
      <c r="Q75" s="918">
        <f t="shared" si="14"/>
        <v>1</v>
      </c>
      <c r="R75" s="1115"/>
      <c r="S75" s="2212"/>
      <c r="AT75" s="296" t="str">
        <f t="shared" si="10"/>
        <v>423301-Subvenciones</v>
      </c>
    </row>
    <row r="76" spans="1:46" ht="15" x14ac:dyDescent="0.25">
      <c r="A76" s="965">
        <f>IF(VLOOKUP($B$8,'LISTAS PPTO'!$F$3:$I$100,4)="X","Sin Recaudo",IF(OR(VLOOKUP($B$8,'LISTAS PPTO'!$F$3:$G$100,2)="Empresa Industrial y Comercial",VLOOKUP($B$8,'LISTAS PPTO'!$F$3:$G$100,2)="Subred"),'LISTAS PPTO'!AO60,IF(OR(VLOOKUP($B$8,'LISTAS PPTO'!$F$3:$G$100,2)="Mixta",VLOOKUP($B$8,'LISTAS PPTO'!$F$3:$G$100,2)="Menor 50%"),"No Aplica",'LISTAS PPTO'!AO60)))</f>
        <v>423302</v>
      </c>
      <c r="B76" s="928" t="str">
        <f>IF(A76="Sin Recaudo","Sin Recaudo",IF(A76="No Aplica","No Aplica",IF(A76='LISTAS PPTO'!AO60,'LISTAS PPTO'!AP60,'LISTAS PPTO'!AP60)))</f>
        <v>A empresas diferentes de subvenciones</v>
      </c>
      <c r="C76" s="2207">
        <v>12013</v>
      </c>
      <c r="D76" s="918">
        <f t="shared" si="11"/>
        <v>1.2013E-6</v>
      </c>
      <c r="E76" s="2207">
        <v>12013</v>
      </c>
      <c r="F76" s="918">
        <f t="shared" si="12"/>
        <v>1.0010833333333333E-6</v>
      </c>
      <c r="G76" s="919">
        <f t="shared" si="7"/>
        <v>0</v>
      </c>
      <c r="H76" s="918">
        <f t="shared" si="8"/>
        <v>0</v>
      </c>
      <c r="I76" s="2210"/>
      <c r="J76" s="2207">
        <v>12013</v>
      </c>
      <c r="K76" s="2207"/>
      <c r="L76" s="2207"/>
      <c r="M76" s="919">
        <f t="shared" si="9"/>
        <v>12013</v>
      </c>
      <c r="N76" s="2207">
        <v>12013</v>
      </c>
      <c r="O76" s="918">
        <f t="shared" si="13"/>
        <v>1</v>
      </c>
      <c r="P76" s="2207">
        <v>12013</v>
      </c>
      <c r="Q76" s="918">
        <f t="shared" si="14"/>
        <v>1</v>
      </c>
      <c r="R76" s="1115"/>
      <c r="S76" s="2212"/>
      <c r="AT76" s="296" t="str">
        <f t="shared" si="10"/>
        <v>423302-A empresas diferentes de subvenciones</v>
      </c>
    </row>
    <row r="77" spans="1:46" ht="15" x14ac:dyDescent="0.25">
      <c r="A77" s="965">
        <f>IF(VLOOKUP($B$8,'LISTAS PPTO'!$F$3:$I$100,4)="X","Sin Recaudo",IF(OR(VLOOKUP($B$8,'LISTAS PPTO'!$F$3:$G$100,2)="Empresa Industrial y Comercial",VLOOKUP($B$8,'LISTAS PPTO'!$F$3:$G$100,2)="Subred"),'LISTAS PPTO'!AO61,IF(OR(VLOOKUP($B$8,'LISTAS PPTO'!$F$3:$G$100,2)="Mixta",VLOOKUP($B$8,'LISTAS PPTO'!$F$3:$G$100,2)="Menor 50%"),"No Aplica",'LISTAS PPTO'!AO61)))</f>
        <v>423305</v>
      </c>
      <c r="B77" s="928" t="str">
        <f>IF(A77="Sin Recaudo","Sin Recaudo",IF(A77="No Aplica","No Aplica",IF(A77='LISTAS PPTO'!AO61,'LISTAS PPTO'!AP61,'LISTAS PPTO'!AP61)))</f>
        <v>A entidades del gobierno</v>
      </c>
      <c r="C77" s="2207">
        <v>12014</v>
      </c>
      <c r="D77" s="918">
        <f t="shared" si="11"/>
        <v>1.2014000000000001E-6</v>
      </c>
      <c r="E77" s="2207">
        <v>12014</v>
      </c>
      <c r="F77" s="918">
        <f t="shared" si="12"/>
        <v>1.0011666666666666E-6</v>
      </c>
      <c r="G77" s="919">
        <f t="shared" si="7"/>
        <v>0</v>
      </c>
      <c r="H77" s="918">
        <f t="shared" si="8"/>
        <v>0</v>
      </c>
      <c r="I77" s="2210"/>
      <c r="J77" s="2207">
        <v>12014</v>
      </c>
      <c r="K77" s="2207"/>
      <c r="L77" s="2207"/>
      <c r="M77" s="919">
        <f t="shared" si="9"/>
        <v>12014</v>
      </c>
      <c r="N77" s="2207">
        <v>12014</v>
      </c>
      <c r="O77" s="918">
        <f t="shared" si="13"/>
        <v>1</v>
      </c>
      <c r="P77" s="2207">
        <v>12014</v>
      </c>
      <c r="Q77" s="918">
        <f t="shared" si="14"/>
        <v>1</v>
      </c>
      <c r="R77" s="1115"/>
      <c r="S77" s="2212"/>
      <c r="AT77" s="296" t="str">
        <f t="shared" si="10"/>
        <v>423305-A entidades del gobierno</v>
      </c>
    </row>
    <row r="78" spans="1:46" ht="15" x14ac:dyDescent="0.25">
      <c r="A78" s="965">
        <f>IF(VLOOKUP($B$8,'LISTAS PPTO'!$F$3:$I$100,4)="X","Sin Recaudo",IF(OR(VLOOKUP($B$8,'LISTAS PPTO'!$F$3:$G$100,2)="Empresa Industrial y Comercial",VLOOKUP($B$8,'LISTAS PPTO'!$F$3:$G$100,2)="Subred"),'LISTAS PPTO'!AO62,IF(OR(VLOOKUP($B$8,'LISTAS PPTO'!$F$3:$G$100,2)="Mixta",VLOOKUP($B$8,'LISTAS PPTO'!$F$3:$G$100,2)="Menor 50%"),"No Aplica",'LISTAS PPTO'!AO62)))</f>
        <v>423307</v>
      </c>
      <c r="B78" s="928" t="str">
        <f>IF(A78="Sin Recaudo","Sin Recaudo",IF(A78="No Aplica","No Aplica",IF(A78='LISTAS PPTO'!AO62,'LISTAS PPTO'!AP62,'LISTAS PPTO'!AP62)))</f>
        <v>Prestaciones para cubrir riesgos sociales</v>
      </c>
      <c r="C78" s="2207">
        <v>12015</v>
      </c>
      <c r="D78" s="918">
        <f t="shared" si="11"/>
        <v>1.2015000000000001E-6</v>
      </c>
      <c r="E78" s="2207">
        <v>12015</v>
      </c>
      <c r="F78" s="918">
        <f t="shared" si="12"/>
        <v>1.0012499999999999E-6</v>
      </c>
      <c r="G78" s="919">
        <f t="shared" si="7"/>
        <v>0</v>
      </c>
      <c r="H78" s="918">
        <f t="shared" si="8"/>
        <v>0</v>
      </c>
      <c r="I78" s="2210"/>
      <c r="J78" s="2207">
        <v>12015</v>
      </c>
      <c r="K78" s="2207"/>
      <c r="L78" s="2207"/>
      <c r="M78" s="919">
        <f t="shared" si="9"/>
        <v>12015</v>
      </c>
      <c r="N78" s="2207">
        <v>12015</v>
      </c>
      <c r="O78" s="918">
        <f t="shared" si="13"/>
        <v>1</v>
      </c>
      <c r="P78" s="2207">
        <v>12015</v>
      </c>
      <c r="Q78" s="918">
        <f t="shared" si="14"/>
        <v>1</v>
      </c>
      <c r="R78" s="1115"/>
      <c r="S78" s="2212"/>
      <c r="AT78" s="296" t="str">
        <f t="shared" si="10"/>
        <v>423307-Prestaciones para cubrir riesgos sociales</v>
      </c>
    </row>
    <row r="79" spans="1:46" ht="15" x14ac:dyDescent="0.25">
      <c r="A79" s="965">
        <f>IF(VLOOKUP($B$8,'LISTAS PPTO'!$F$3:$I$100,4)="X","Sin Recaudo",IF(OR(VLOOKUP($B$8,'LISTAS PPTO'!$F$3:$G$100,2)="Empresa Industrial y Comercial",VLOOKUP($B$8,'LISTAS PPTO'!$F$3:$G$100,2)="Subred"),'LISTAS PPTO'!AO63,IF(OR(VLOOKUP($B$8,'LISTAS PPTO'!$F$3:$G$100,2)="Mixta",VLOOKUP($B$8,'LISTAS PPTO'!$F$3:$G$100,2)="Menor 50%"),"No Aplica",'LISTAS PPTO'!AO63)))</f>
        <v>423313</v>
      </c>
      <c r="B79" s="928" t="str">
        <f>IF(A79="Sin Recaudo","Sin Recaudo",IF(A79="No Aplica","No Aplica",IF(A79='LISTAS PPTO'!AO63,'LISTAS PPTO'!AP63,'LISTAS PPTO'!AP63)))</f>
        <v>Sentencias y conciliaciones</v>
      </c>
      <c r="C79" s="2207">
        <v>12016</v>
      </c>
      <c r="D79" s="918">
        <f t="shared" si="11"/>
        <v>1.2016000000000001E-6</v>
      </c>
      <c r="E79" s="2207">
        <v>12016</v>
      </c>
      <c r="F79" s="918">
        <f t="shared" si="12"/>
        <v>1.0013333333333332E-6</v>
      </c>
      <c r="G79" s="919">
        <f t="shared" si="7"/>
        <v>0</v>
      </c>
      <c r="H79" s="918">
        <f t="shared" si="8"/>
        <v>0</v>
      </c>
      <c r="I79" s="2210"/>
      <c r="J79" s="2207">
        <v>12016</v>
      </c>
      <c r="K79" s="2207"/>
      <c r="L79" s="2207"/>
      <c r="M79" s="919">
        <f t="shared" si="9"/>
        <v>12016</v>
      </c>
      <c r="N79" s="2207">
        <v>12016</v>
      </c>
      <c r="O79" s="918">
        <f t="shared" si="13"/>
        <v>1</v>
      </c>
      <c r="P79" s="2207">
        <v>12016</v>
      </c>
      <c r="Q79" s="918">
        <f t="shared" si="14"/>
        <v>1</v>
      </c>
      <c r="R79" s="1115"/>
      <c r="S79" s="2212"/>
      <c r="AT79" s="296" t="str">
        <f t="shared" si="10"/>
        <v>423313-Sentencias y conciliaciones</v>
      </c>
    </row>
    <row r="80" spans="1:46" ht="15" x14ac:dyDescent="0.25">
      <c r="A80" s="965">
        <f>IF(VLOOKUP($B$8,'LISTAS PPTO'!$F$3:$I$100,4)="X","Sin Recaudo",IF(OR(VLOOKUP($B$8,'LISTAS PPTO'!$F$3:$G$100,2)="Empresa Industrial y Comercial",VLOOKUP($B$8,'LISTAS PPTO'!$F$3:$G$100,2)="Subred"),'LISTAS PPTO'!AO64,IF(OR(VLOOKUP($B$8,'LISTAS PPTO'!$F$3:$G$100,2)="Mixta",VLOOKUP($B$8,'LISTAS PPTO'!$F$3:$G$100,2)="Menor 50%"),"No Aplica",'LISTAS PPTO'!AO64)))</f>
        <v>4234</v>
      </c>
      <c r="B80" s="928" t="str">
        <f>IF(A80="Sin Recaudo","Sin Recaudo",IF(A80="No Aplica","No Aplica",IF(A80='LISTAS PPTO'!AO64,'LISTAS PPTO'!AP64,'LISTAS PPTO'!AP64)))</f>
        <v>Transferencias para INVERSIÓN</v>
      </c>
      <c r="C80" s="2207">
        <v>12017</v>
      </c>
      <c r="D80" s="918">
        <f t="shared" si="11"/>
        <v>1.2017000000000001E-6</v>
      </c>
      <c r="E80" s="2207">
        <v>12017</v>
      </c>
      <c r="F80" s="918">
        <f t="shared" si="12"/>
        <v>1.0014166666666668E-6</v>
      </c>
      <c r="G80" s="919">
        <f t="shared" si="7"/>
        <v>0</v>
      </c>
      <c r="H80" s="918">
        <f t="shared" si="8"/>
        <v>0</v>
      </c>
      <c r="I80" s="2210"/>
      <c r="J80" s="2207">
        <v>12017</v>
      </c>
      <c r="K80" s="2207"/>
      <c r="L80" s="2207"/>
      <c r="M80" s="919">
        <f t="shared" si="9"/>
        <v>12017</v>
      </c>
      <c r="N80" s="2207">
        <v>12017</v>
      </c>
      <c r="O80" s="918">
        <f t="shared" si="13"/>
        <v>1</v>
      </c>
      <c r="P80" s="2207">
        <v>12017</v>
      </c>
      <c r="Q80" s="918">
        <f t="shared" si="14"/>
        <v>1</v>
      </c>
      <c r="R80" s="1115"/>
      <c r="S80" s="2212"/>
      <c r="AT80" s="296" t="str">
        <f t="shared" si="10"/>
        <v>4234-Transferencias para INVERSIÓN</v>
      </c>
    </row>
    <row r="81" spans="1:46" ht="15" x14ac:dyDescent="0.25">
      <c r="A81" s="965">
        <f>IF(VLOOKUP($B$8,'LISTAS PPTO'!$F$3:$I$100,4)="X","Sin Recaudo",IF(OR(VLOOKUP($B$8,'LISTAS PPTO'!$F$3:$G$100,2)="Empresa Industrial y Comercial",VLOOKUP($B$8,'LISTAS PPTO'!$F$3:$G$100,2)="Subred"),'LISTAS PPTO'!AO65,IF(OR(VLOOKUP($B$8,'LISTAS PPTO'!$F$3:$G$100,2)="Mixta",VLOOKUP($B$8,'LISTAS PPTO'!$F$3:$G$100,2)="Menor 50%"),"No Aplica",'LISTAS PPTO'!AO65)))</f>
        <v>423401</v>
      </c>
      <c r="B81" s="928" t="str">
        <f>IF(A81="Sin Recaudo","Sin Recaudo",IF(A81="No Aplica","No Aplica",IF(A81='LISTAS PPTO'!AO65,'LISTAS PPTO'!AP65,'LISTAS PPTO'!AP65)))</f>
        <v>Transferencia Distrital</v>
      </c>
      <c r="C81" s="2207">
        <v>12018</v>
      </c>
      <c r="D81" s="918">
        <f t="shared" si="11"/>
        <v>1.2018000000000001E-6</v>
      </c>
      <c r="E81" s="2207">
        <v>12018</v>
      </c>
      <c r="F81" s="918">
        <f t="shared" si="12"/>
        <v>1.0015000000000001E-6</v>
      </c>
      <c r="G81" s="919">
        <f t="shared" si="7"/>
        <v>0</v>
      </c>
      <c r="H81" s="918">
        <f t="shared" si="8"/>
        <v>0</v>
      </c>
      <c r="I81" s="2210"/>
      <c r="J81" s="2207">
        <v>12018</v>
      </c>
      <c r="K81" s="2207"/>
      <c r="L81" s="2207"/>
      <c r="M81" s="919">
        <f t="shared" si="9"/>
        <v>12018</v>
      </c>
      <c r="N81" s="2207">
        <v>12018</v>
      </c>
      <c r="O81" s="918">
        <f t="shared" si="13"/>
        <v>1</v>
      </c>
      <c r="P81" s="2207">
        <v>12018</v>
      </c>
      <c r="Q81" s="918">
        <f t="shared" si="14"/>
        <v>1</v>
      </c>
      <c r="R81" s="1115"/>
      <c r="S81" s="2212"/>
      <c r="AT81" s="296" t="str">
        <f t="shared" si="10"/>
        <v>423401-Transferencia Distrital</v>
      </c>
    </row>
    <row r="82" spans="1:46" s="781" customFormat="1" ht="15" x14ac:dyDescent="0.25">
      <c r="A82" s="966">
        <f>IF(VLOOKUP($B$8,'LISTAS PPTO'!$F$3:$I$100,4)="X","Sin Recaudo",IF(OR(VLOOKUP($B$8,'LISTAS PPTO'!$F$3:$G$100,2)="Empresa Industrial y Comercial",VLOOKUP($B$8,'LISTAS PPTO'!$F$3:$G$100,2)="Subred"),'LISTAS PPTO'!AO66,IF(OR(VLOOKUP($B$8,'LISTAS PPTO'!$F$3:$G$100,2)="Mixta",VLOOKUP($B$8,'LISTAS PPTO'!$F$3:$G$100,2)="Menor 50%"),"No Aplica",'LISTAS PPTO'!AO66)))</f>
        <v>44</v>
      </c>
      <c r="B82" s="805" t="str">
        <f>IF(A82="Sin Recaudo","Sin Recaudo",IF(A82="No Aplica","No Aplica",IF(A82='LISTAS PPTO'!AO66,'LISTAS PPTO'!AP66,'LISTAS PPTO'!AP66)))</f>
        <v>DISPONIBILIDAD FINAL</v>
      </c>
      <c r="C82" s="2206">
        <v>12019</v>
      </c>
      <c r="D82" s="914">
        <f t="shared" si="11"/>
        <v>1.2019000000000001E-6</v>
      </c>
      <c r="E82" s="2206">
        <v>12019</v>
      </c>
      <c r="F82" s="914">
        <f t="shared" si="12"/>
        <v>1.0015833333333334E-6</v>
      </c>
      <c r="G82" s="915">
        <f t="shared" si="7"/>
        <v>0</v>
      </c>
      <c r="H82" s="914">
        <f t="shared" si="8"/>
        <v>0</v>
      </c>
      <c r="I82" s="2209"/>
      <c r="J82" s="2206">
        <v>12019</v>
      </c>
      <c r="K82" s="2206"/>
      <c r="L82" s="2206"/>
      <c r="M82" s="915">
        <f t="shared" si="9"/>
        <v>12019</v>
      </c>
      <c r="N82" s="2206">
        <v>12019</v>
      </c>
      <c r="O82" s="914">
        <f t="shared" si="13"/>
        <v>1</v>
      </c>
      <c r="P82" s="2206">
        <v>12019</v>
      </c>
      <c r="Q82" s="914">
        <f t="shared" si="14"/>
        <v>1</v>
      </c>
      <c r="R82" s="1115"/>
      <c r="S82" s="2211"/>
      <c r="AT82" s="775" t="str">
        <f t="shared" si="10"/>
        <v>44-DISPONIBILIDAD FINAL</v>
      </c>
    </row>
    <row r="83" spans="1:46" ht="15.75" thickBot="1" x14ac:dyDescent="0.3">
      <c r="A83" s="965">
        <f>IF(VLOOKUP($B$8,'LISTAS PPTO'!$F$3:$I$100,4)="X","Sin Recaudo",IF(OR(VLOOKUP($B$8,'LISTAS PPTO'!$F$3:$G$100,2)="Empresa Industrial y Comercial",VLOOKUP($B$8,'LISTAS PPTO'!$F$3:$G$100,2)="Subred"),'LISTAS PPTO'!AO67,IF(OR(VLOOKUP($B$8,'LISTAS PPTO'!$F$3:$G$100,2)="Mixta",VLOOKUP($B$8,'LISTAS PPTO'!$F$3:$G$100,2)="Menor 50%"),"No Aplica",'LISTAS PPTO'!AO67)))</f>
        <v>0</v>
      </c>
      <c r="B83" s="928">
        <f>IF(A83="Sin Recaudo","Sin Recaudo",IF(A83="No Aplica","No Aplica",IF(A83='LISTAS PPTO'!AO67,'LISTAS PPTO'!AP67,'LISTAS PPTO'!AP67)))</f>
        <v>0</v>
      </c>
      <c r="C83" s="2208">
        <v>12019</v>
      </c>
      <c r="D83" s="923">
        <f t="shared" si="11"/>
        <v>1.2019000000000001E-6</v>
      </c>
      <c r="E83" s="2208">
        <v>12000</v>
      </c>
      <c r="F83" s="923">
        <f t="shared" si="12"/>
        <v>9.9999999999999995E-7</v>
      </c>
      <c r="G83" s="924">
        <f t="shared" si="7"/>
        <v>-19</v>
      </c>
      <c r="H83" s="923">
        <f t="shared" si="8"/>
        <v>-1.5833333333333333E-3</v>
      </c>
      <c r="I83" s="2217"/>
      <c r="J83" s="2208">
        <v>12000</v>
      </c>
      <c r="K83" s="2208"/>
      <c r="L83" s="2208"/>
      <c r="M83" s="924">
        <f t="shared" si="9"/>
        <v>12000</v>
      </c>
      <c r="N83" s="2208">
        <v>12000</v>
      </c>
      <c r="O83" s="923">
        <f t="shared" si="13"/>
        <v>1</v>
      </c>
      <c r="P83" s="2208">
        <v>12000</v>
      </c>
      <c r="Q83" s="923">
        <f t="shared" si="14"/>
        <v>1</v>
      </c>
      <c r="R83" s="1115"/>
      <c r="S83" s="2214"/>
      <c r="AT83" s="296" t="str">
        <f>CONCATENATE(A83,"-",B83)</f>
        <v>0-0</v>
      </c>
    </row>
    <row r="84" spans="1:46" ht="15" customHeight="1" x14ac:dyDescent="0.25">
      <c r="A84" s="1711" t="s">
        <v>1691</v>
      </c>
      <c r="B84" s="1712"/>
      <c r="C84" s="1686" t="s">
        <v>1660</v>
      </c>
      <c r="D84" s="1686"/>
      <c r="E84" s="1686"/>
      <c r="F84" s="1686"/>
      <c r="G84" s="1686"/>
      <c r="H84" s="1686"/>
      <c r="I84" s="1686"/>
      <c r="J84" s="1688" t="s">
        <v>1661</v>
      </c>
      <c r="K84" s="1686"/>
      <c r="L84" s="1686"/>
      <c r="M84" s="1686"/>
      <c r="N84" s="1686"/>
      <c r="O84" s="1686"/>
      <c r="P84" s="1686"/>
      <c r="Q84" s="1686"/>
      <c r="R84" s="1713"/>
      <c r="S84" s="909"/>
      <c r="AT84" s="296"/>
    </row>
    <row r="85" spans="1:46" ht="45" customHeight="1" thickBot="1" x14ac:dyDescent="0.3">
      <c r="A85" s="1684"/>
      <c r="B85" s="1685"/>
      <c r="C85" s="1687"/>
      <c r="D85" s="1687"/>
      <c r="E85" s="1687"/>
      <c r="F85" s="1687"/>
      <c r="G85" s="1687"/>
      <c r="H85" s="1687"/>
      <c r="I85" s="1687"/>
      <c r="J85" s="1689"/>
      <c r="K85" s="1687"/>
      <c r="L85" s="1687"/>
      <c r="M85" s="1687"/>
      <c r="N85" s="1687"/>
      <c r="O85" s="1687"/>
      <c r="P85" s="1687"/>
      <c r="Q85" s="1687"/>
      <c r="R85" s="1687"/>
      <c r="S85" s="910" t="s">
        <v>1662</v>
      </c>
    </row>
    <row r="86" spans="1:46" ht="24" customHeight="1" x14ac:dyDescent="0.25">
      <c r="A86" s="1690" t="s">
        <v>1692</v>
      </c>
      <c r="B86" s="1679" t="s">
        <v>1693</v>
      </c>
      <c r="C86" s="1690" t="s">
        <v>1681</v>
      </c>
      <c r="D86" s="1692" t="s">
        <v>1682</v>
      </c>
      <c r="E86" s="1692" t="s">
        <v>1683</v>
      </c>
      <c r="F86" s="1692" t="s">
        <v>1684</v>
      </c>
      <c r="G86" s="1692" t="s">
        <v>1668</v>
      </c>
      <c r="H86" s="1692" t="s">
        <v>1669</v>
      </c>
      <c r="I86" s="1679" t="s">
        <v>1670</v>
      </c>
      <c r="J86" s="1690" t="s">
        <v>1671</v>
      </c>
      <c r="K86" s="1692" t="s">
        <v>1672</v>
      </c>
      <c r="L86" s="1692"/>
      <c r="M86" s="1692" t="s">
        <v>1685</v>
      </c>
      <c r="N86" s="1692" t="s">
        <v>1686</v>
      </c>
      <c r="O86" s="1692" t="s">
        <v>1687</v>
      </c>
      <c r="P86" s="1692" t="s">
        <v>1688</v>
      </c>
      <c r="Q86" s="1692" t="s">
        <v>1689</v>
      </c>
      <c r="R86" s="1692" t="s">
        <v>1676</v>
      </c>
      <c r="S86" s="1679" t="s">
        <v>1690</v>
      </c>
    </row>
    <row r="87" spans="1:46" ht="45" customHeight="1" thickBot="1" x14ac:dyDescent="0.3">
      <c r="A87" s="1691"/>
      <c r="B87" s="1680"/>
      <c r="C87" s="1691"/>
      <c r="D87" s="1693"/>
      <c r="E87" s="1693"/>
      <c r="F87" s="1693"/>
      <c r="G87" s="1693"/>
      <c r="H87" s="1693"/>
      <c r="I87" s="1680"/>
      <c r="J87" s="1691"/>
      <c r="K87" s="911" t="s">
        <v>1678</v>
      </c>
      <c r="L87" s="911" t="s">
        <v>1679</v>
      </c>
      <c r="M87" s="1693"/>
      <c r="N87" s="1693"/>
      <c r="O87" s="1693"/>
      <c r="P87" s="1693"/>
      <c r="Q87" s="1693"/>
      <c r="R87" s="1693"/>
      <c r="S87" s="1680"/>
    </row>
    <row r="88" spans="1:46" s="781" customFormat="1" ht="18" customHeight="1" x14ac:dyDescent="0.25">
      <c r="A88" s="967">
        <f>IF(VLOOKUP($B$8,'LISTAS PPTO'!$F$3:$I$100,4)="X","Sin Recaudo",IF(OR(VLOOKUP($B$8,'LISTAS PPTO'!$F$3:$G$100,2)="Empresa Industrial y Comercial",VLOOKUP($B$8,'LISTAS PPTO'!$F$3:$G$100,2)="Subred"),'LISTAS PPTO'!AO70,IF(OR(VLOOKUP($B$8,'LISTAS PPTO'!$F$3:$G$100,2)="Mixta",VLOOKUP($B$8,'LISTAS PPTO'!$F$3:$G$100,2)="Menor 50%"),"No Aplica",'LISTAS PPTO'!AO70)))</f>
        <v>45</v>
      </c>
      <c r="B88" s="930" t="str">
        <f>IF(A88="Sin Recaudo","Sin Recaudo",IF(A88="No Aplica","No Aplica",IF(A88='LISTAS PPTO'!AO70,'LISTAS PPTO'!AP70,'LISTAS PPTO'!AP70)))</f>
        <v>GASTOS DE COMERCIALIZACIÓN Y PRODUCCIÓN</v>
      </c>
      <c r="C88" s="2206">
        <v>120000000</v>
      </c>
      <c r="D88" s="914">
        <f>IF(C88="","",C88/$C$88)</f>
        <v>1</v>
      </c>
      <c r="E88" s="2206">
        <v>120000</v>
      </c>
      <c r="F88" s="914">
        <f>IF(E88="","",E88/$E$88)</f>
        <v>1</v>
      </c>
      <c r="G88" s="915">
        <f t="shared" ref="G88:G96" si="15">IF(AND(C88="",E88=""),"",E88-C88)</f>
        <v>-119880000</v>
      </c>
      <c r="H88" s="914">
        <f t="shared" ref="H88:H95" si="16">IF(E88="",G88/C88,G88/E88)</f>
        <v>-999</v>
      </c>
      <c r="I88" s="2209"/>
      <c r="J88" s="2206">
        <v>12000</v>
      </c>
      <c r="K88" s="2206"/>
      <c r="L88" s="2206"/>
      <c r="M88" s="969">
        <f t="shared" ref="M88:M96" si="17">IF(J88="","",J88-K88+L88)</f>
        <v>12000</v>
      </c>
      <c r="N88" s="2206">
        <v>255555555</v>
      </c>
      <c r="O88" s="914">
        <f t="shared" ref="O88:O96" si="18">IF(OR(E88="",N88=""),"",N88/E88)</f>
        <v>2129.629625</v>
      </c>
      <c r="P88" s="2206">
        <v>12000</v>
      </c>
      <c r="Q88" s="914">
        <f t="shared" ref="Q88:Q96" si="19">IF(OR(E88="",P88=""),"",P88/E88)</f>
        <v>0.1</v>
      </c>
      <c r="R88" s="1115"/>
      <c r="S88" s="2209"/>
      <c r="AT88" s="775" t="str">
        <f t="shared" ref="AT88:AT96" si="20">CONCATENATE(A88,"-",B88)</f>
        <v>45-GASTOS DE COMERCIALIZACIÓN Y PRODUCCIÓN</v>
      </c>
    </row>
    <row r="89" spans="1:46" s="781" customFormat="1" ht="18" customHeight="1" x14ac:dyDescent="0.25">
      <c r="A89" s="967">
        <f>IF(VLOOKUP($B$8,'LISTAS PPTO'!$F$3:$I$100,4)="X","Sin Recaudo",IF(OR(VLOOKUP($B$8,'LISTAS PPTO'!$F$3:$G$100,2)="Empresa Industrial y Comercial",VLOOKUP($B$8,'LISTAS PPTO'!$F$3:$G$100,2)="Subred"),'LISTAS PPTO'!AO71,IF(OR(VLOOKUP($B$8,'LISTAS PPTO'!$F$3:$G$100,2)="Mixta",VLOOKUP($B$8,'LISTAS PPTO'!$F$3:$G$100,2)="Menor 50%"),"No Aplica",'LISTAS PPTO'!AO71)))</f>
        <v>4501</v>
      </c>
      <c r="B89" s="930" t="str">
        <f>IF(A89="Sin Recaudo","Sin Recaudo",IF(A89="No Aplica","No Aplica",IF(A89='LISTAS PPTO'!AO71,'LISTAS PPTO'!AP71,'LISTAS PPTO'!AP71)))</f>
        <v>GASTOS DE COMERCIALIZACIÓN Y PRODUCCIÓN</v>
      </c>
      <c r="C89" s="2206">
        <v>120000000</v>
      </c>
      <c r="D89" s="914">
        <f>IF(C89="","",C89/$C$88)</f>
        <v>1</v>
      </c>
      <c r="E89" s="2206">
        <v>12000</v>
      </c>
      <c r="F89" s="914">
        <f>IF(E89="","",E89/$E$88)</f>
        <v>0.1</v>
      </c>
      <c r="G89" s="915">
        <f t="shared" si="15"/>
        <v>-119988000</v>
      </c>
      <c r="H89" s="914">
        <f t="shared" si="16"/>
        <v>-9999</v>
      </c>
      <c r="I89" s="2209"/>
      <c r="J89" s="2206">
        <v>12000</v>
      </c>
      <c r="K89" s="2206"/>
      <c r="L89" s="2206"/>
      <c r="M89" s="969">
        <f t="shared" si="17"/>
        <v>12000</v>
      </c>
      <c r="N89" s="2206">
        <v>12000</v>
      </c>
      <c r="O89" s="914">
        <f t="shared" si="18"/>
        <v>1</v>
      </c>
      <c r="P89" s="2206">
        <v>12000</v>
      </c>
      <c r="Q89" s="914">
        <f t="shared" si="19"/>
        <v>1</v>
      </c>
      <c r="R89" s="1115"/>
      <c r="S89" s="2209"/>
      <c r="AT89" s="775" t="str">
        <f t="shared" si="20"/>
        <v>4501-GASTOS DE COMERCIALIZACIÓN Y PRODUCCIÓN</v>
      </c>
    </row>
    <row r="90" spans="1:46" ht="18" customHeight="1" x14ac:dyDescent="0.25">
      <c r="A90" s="929">
        <f>IF(VLOOKUP($B$8,'LISTAS PPTO'!$F$3:$I$100,4)="X","Sin Recaudo",IF(OR(VLOOKUP($B$8,'LISTAS PPTO'!$F$3:$G$100,2)="Empresa Industrial y Comercial",VLOOKUP($B$8,'LISTAS PPTO'!$F$3:$G$100,2)="Subred"),'LISTAS PPTO'!AO72,IF(OR(VLOOKUP($B$8,'LISTAS PPTO'!$F$3:$G$100,2)="Mixta",VLOOKUP($B$8,'LISTAS PPTO'!$F$3:$G$100,2)="Menor 50%"),"No Aplica",'LISTAS PPTO'!AO72)))</f>
        <v>450101</v>
      </c>
      <c r="B90" s="968" t="str">
        <f>IF(A90="Sin Recaudo","Sin Recaudo",IF(A90="No Aplica","No Aplica",IF(A90='LISTAS PPTO'!AO72,'LISTAS PPTO'!AP72,'LISTAS PPTO'!AP72)))</f>
        <v>Materiales y suministros</v>
      </c>
      <c r="C90" s="2207">
        <v>120000000</v>
      </c>
      <c r="D90" s="918">
        <f>IF(C90="","",C90/$C$88)</f>
        <v>1</v>
      </c>
      <c r="E90" s="2207">
        <v>12000</v>
      </c>
      <c r="F90" s="918">
        <f>IF(E90="","",E90/$E$88)</f>
        <v>0.1</v>
      </c>
      <c r="G90" s="919">
        <f t="shared" si="15"/>
        <v>-119988000</v>
      </c>
      <c r="H90" s="918">
        <f t="shared" si="16"/>
        <v>-9999</v>
      </c>
      <c r="I90" s="2210"/>
      <c r="J90" s="2207">
        <v>12000</v>
      </c>
      <c r="K90" s="2207"/>
      <c r="L90" s="2207"/>
      <c r="M90" s="970">
        <f t="shared" si="17"/>
        <v>12000</v>
      </c>
      <c r="N90" s="2207">
        <v>12000</v>
      </c>
      <c r="O90" s="918">
        <f t="shared" si="18"/>
        <v>1</v>
      </c>
      <c r="P90" s="2207">
        <v>12000</v>
      </c>
      <c r="Q90" s="918">
        <f t="shared" si="19"/>
        <v>1</v>
      </c>
      <c r="R90" s="1115"/>
      <c r="S90" s="2210"/>
      <c r="AT90" s="296" t="str">
        <f t="shared" si="20"/>
        <v>450101-Materiales y suministros</v>
      </c>
    </row>
    <row r="91" spans="1:46" ht="18" customHeight="1" x14ac:dyDescent="0.25">
      <c r="A91" s="929">
        <f>IF(VLOOKUP($B$8,'LISTAS PPTO'!$F$3:$I$100,4)="X","Sin Recaudo",IF(OR(VLOOKUP($B$8,'LISTAS PPTO'!$F$3:$G$100,2)="Empresa Industrial y Comercial",VLOOKUP($B$8,'LISTAS PPTO'!$F$3:$G$100,2)="Subred"),'LISTAS PPTO'!AO73,IF(OR(VLOOKUP($B$8,'LISTAS PPTO'!$F$3:$G$100,2)="Mixta",VLOOKUP($B$8,'LISTAS PPTO'!$F$3:$G$100,2)="Menor 50%"),"No Aplica",'LISTAS PPTO'!AO73)))</f>
        <v>0</v>
      </c>
      <c r="B91" s="930" t="str">
        <f>IF(A91="Sin Recaudo","Sin Recaudo",IF(A91="No Aplica","No Aplica",IF(A91='LISTAS PPTO'!AO73,'LISTAS PPTO'!AP73,'LISTAS PPTO'!AP73)))</f>
        <v>RESERVAS PRESUPUESTALES CONSTITUIDAS</v>
      </c>
      <c r="C91" s="2206">
        <v>1201800</v>
      </c>
      <c r="D91" s="914">
        <f t="shared" ref="D91:D96" si="21">IF(C91="","",C91/C91)</f>
        <v>1</v>
      </c>
      <c r="E91" s="2206">
        <v>1500000</v>
      </c>
      <c r="F91" s="914">
        <f t="shared" ref="F91:F96" si="22">IF(E91="","",E91/E91)</f>
        <v>1</v>
      </c>
      <c r="G91" s="915">
        <f t="shared" si="15"/>
        <v>298200</v>
      </c>
      <c r="H91" s="914">
        <f t="shared" si="16"/>
        <v>0.1988</v>
      </c>
      <c r="I91" s="2210"/>
      <c r="J91" s="2206">
        <v>12000</v>
      </c>
      <c r="K91" s="2206"/>
      <c r="L91" s="2206"/>
      <c r="M91" s="969">
        <f t="shared" si="17"/>
        <v>12000</v>
      </c>
      <c r="N91" s="2206">
        <v>120000000</v>
      </c>
      <c r="O91" s="914">
        <f t="shared" si="18"/>
        <v>80</v>
      </c>
      <c r="P91" s="2206">
        <v>12000</v>
      </c>
      <c r="Q91" s="914">
        <f t="shared" si="19"/>
        <v>8.0000000000000002E-3</v>
      </c>
      <c r="R91" s="1115"/>
      <c r="S91" s="2210"/>
      <c r="AT91" s="296" t="str">
        <f t="shared" si="20"/>
        <v>0-RESERVAS PRESUPUESTALES CONSTITUIDAS</v>
      </c>
    </row>
    <row r="92" spans="1:46" ht="18" customHeight="1" x14ac:dyDescent="0.25">
      <c r="A92" s="929">
        <f>IF(VLOOKUP($B$8,'LISTAS PPTO'!$F$3:$I$100,4)="X","Sin Recaudo",IF(OR(VLOOKUP($B$8,'LISTAS PPTO'!$F$3:$G$100,2)="Empresa Industrial y Comercial",VLOOKUP($B$8,'LISTAS PPTO'!$F$3:$G$100,2)="Subred"),'LISTAS PPTO'!AO74,IF(OR(VLOOKUP($B$8,'LISTAS PPTO'!$F$3:$G$100,2)="Mixta",VLOOKUP($B$8,'LISTAS PPTO'!$F$3:$G$100,2)="Menor 50%"),"No Aplica",'LISTAS PPTO'!AO74)))</f>
        <v>0</v>
      </c>
      <c r="B92" s="930" t="str">
        <f>IF(A92="Sin Recaudo","Sin Recaudo",IF(A92="No Aplica","No Aplica",IF(A92='LISTAS PPTO'!AO74,'LISTAS PPTO'!AP74,'LISTAS PPTO'!AP74)))</f>
        <v>CUENTAS POR PAGAR</v>
      </c>
      <c r="C92" s="2206">
        <v>1201800</v>
      </c>
      <c r="D92" s="914">
        <f t="shared" si="21"/>
        <v>1</v>
      </c>
      <c r="E92" s="2206">
        <v>1500000</v>
      </c>
      <c r="F92" s="914">
        <f t="shared" si="22"/>
        <v>1</v>
      </c>
      <c r="G92" s="915">
        <f t="shared" si="15"/>
        <v>298200</v>
      </c>
      <c r="H92" s="914">
        <f t="shared" si="16"/>
        <v>0.1988</v>
      </c>
      <c r="I92" s="2210"/>
      <c r="J92" s="2206">
        <v>12001</v>
      </c>
      <c r="K92" s="2206"/>
      <c r="L92" s="2206"/>
      <c r="M92" s="969">
        <f t="shared" si="17"/>
        <v>12001</v>
      </c>
      <c r="N92" s="2206">
        <v>120000000</v>
      </c>
      <c r="O92" s="914">
        <f t="shared" si="18"/>
        <v>80</v>
      </c>
      <c r="P92" s="2206">
        <v>12001</v>
      </c>
      <c r="Q92" s="914">
        <f t="shared" si="19"/>
        <v>8.0006666666666663E-3</v>
      </c>
      <c r="R92" s="1115"/>
      <c r="S92" s="2210"/>
      <c r="AT92" s="296" t="str">
        <f t="shared" si="20"/>
        <v>0-CUENTAS POR PAGAR</v>
      </c>
    </row>
    <row r="93" spans="1:46" ht="18" customHeight="1" x14ac:dyDescent="0.25">
      <c r="A93" s="929">
        <f>IF(VLOOKUP($B$8,'LISTAS PPTO'!$F$3:$I$100,4)="X","Sin Recaudo",IF(OR(VLOOKUP($B$8,'LISTAS PPTO'!$F$3:$G$100,2)="Empresa Industrial y Comercial",VLOOKUP($B$8,'LISTAS PPTO'!$F$3:$G$100,2)="Subred"),'LISTAS PPTO'!AO75,IF(OR(VLOOKUP($B$8,'LISTAS PPTO'!$F$3:$G$100,2)="Mixta",VLOOKUP($B$8,'LISTAS PPTO'!$F$3:$G$100,2)="Menor 50%"),"No Aplica",'LISTAS PPTO'!AO75)))</f>
        <v>0</v>
      </c>
      <c r="B93" s="930" t="str">
        <f>IF(A93="Sin Recaudo","Sin Recaudo",IF(A93="No Aplica","No Aplica",IF(A93='LISTAS PPTO'!AO75,'LISTAS PPTO'!AP75,'LISTAS PPTO'!AP75)))</f>
        <v>OBLIGACIONES POR PAGAR</v>
      </c>
      <c r="C93" s="2206">
        <v>150000000</v>
      </c>
      <c r="D93" s="914">
        <f t="shared" si="21"/>
        <v>1</v>
      </c>
      <c r="E93" s="2206">
        <v>1500000</v>
      </c>
      <c r="F93" s="914">
        <f t="shared" si="22"/>
        <v>1</v>
      </c>
      <c r="G93" s="915">
        <f t="shared" si="15"/>
        <v>-148500000</v>
      </c>
      <c r="H93" s="914">
        <f t="shared" si="16"/>
        <v>-99</v>
      </c>
      <c r="I93" s="2210"/>
      <c r="J93" s="2206">
        <v>12001</v>
      </c>
      <c r="K93" s="2206"/>
      <c r="L93" s="2206"/>
      <c r="M93" s="969">
        <f t="shared" si="17"/>
        <v>12001</v>
      </c>
      <c r="N93" s="2206">
        <v>120000000</v>
      </c>
      <c r="O93" s="914">
        <f t="shared" si="18"/>
        <v>80</v>
      </c>
      <c r="P93" s="2206">
        <v>12001</v>
      </c>
      <c r="Q93" s="914">
        <f t="shared" si="19"/>
        <v>8.0006666666666663E-3</v>
      </c>
      <c r="R93" s="1115"/>
      <c r="S93" s="2210"/>
      <c r="AT93" s="296" t="str">
        <f t="shared" si="20"/>
        <v>0-OBLIGACIONES POR PAGAR</v>
      </c>
    </row>
    <row r="94" spans="1:46" ht="18" customHeight="1" x14ac:dyDescent="0.25">
      <c r="A94" s="929">
        <f>IF(VLOOKUP($B$8,'LISTAS PPTO'!$F$3:$I$100,4)="X","Sin Recaudo",IF(OR(VLOOKUP($B$8,'LISTAS PPTO'!$F$3:$G$100,2)="Empresa Industrial y Comercial",VLOOKUP($B$8,'LISTAS PPTO'!$F$3:$G$100,2)="Subred"),'LISTAS PPTO'!AO76,IF(OR(VLOOKUP($B$8,'LISTAS PPTO'!$F$3:$G$100,2)="Mixta",VLOOKUP($B$8,'LISTAS PPTO'!$F$3:$G$100,2)="Menor 50%"),"No Aplica",'LISTAS PPTO'!AO76)))</f>
        <v>0</v>
      </c>
      <c r="B94" s="930" t="str">
        <f>IF(A94="Sin Recaudo","Sin Recaudo",IF(A94="No Aplica","No Aplica",IF(A94='LISTAS PPTO'!AO76,'LISTAS PPTO'!AP76,'LISTAS PPTO'!AP76)))</f>
        <v>PASIVOS EXIGIBLES</v>
      </c>
      <c r="C94" s="2206">
        <v>1201800</v>
      </c>
      <c r="D94" s="914">
        <f t="shared" si="21"/>
        <v>1</v>
      </c>
      <c r="E94" s="2206">
        <v>1500000</v>
      </c>
      <c r="F94" s="914">
        <f t="shared" si="22"/>
        <v>1</v>
      </c>
      <c r="G94" s="915">
        <f t="shared" si="15"/>
        <v>298200</v>
      </c>
      <c r="H94" s="914">
        <f t="shared" si="16"/>
        <v>0.1988</v>
      </c>
      <c r="I94" s="2210"/>
      <c r="J94" s="2206">
        <v>12002</v>
      </c>
      <c r="K94" s="2206"/>
      <c r="L94" s="2206"/>
      <c r="M94" s="969">
        <f t="shared" si="17"/>
        <v>12002</v>
      </c>
      <c r="N94" s="2206">
        <v>120000000</v>
      </c>
      <c r="O94" s="914">
        <f t="shared" si="18"/>
        <v>80</v>
      </c>
      <c r="P94" s="2206">
        <v>12002</v>
      </c>
      <c r="Q94" s="914">
        <f t="shared" si="19"/>
        <v>8.0013333333333325E-3</v>
      </c>
      <c r="R94" s="1115"/>
      <c r="S94" s="2210"/>
      <c r="AT94" s="296" t="str">
        <f t="shared" si="20"/>
        <v>0-PASIVOS EXIGIBLES</v>
      </c>
    </row>
    <row r="95" spans="1:46" ht="18" customHeight="1" x14ac:dyDescent="0.25">
      <c r="A95" s="929">
        <f>IF(VLOOKUP($B$8,'LISTAS PPTO'!$F$3:$I$100,4)="X","Sin Recaudo",IF(OR(VLOOKUP($B$8,'LISTAS PPTO'!$F$3:$G$100,2)="Empresa Industrial y Comercial",VLOOKUP($B$8,'LISTAS PPTO'!$F$3:$G$100,2)="Subred"),'LISTAS PPTO'!AO77,IF(OR(VLOOKUP($B$8,'LISTAS PPTO'!$F$3:$G$100,2)="Mixta",VLOOKUP($B$8,'LISTAS PPTO'!$F$3:$G$100,2)="Menor 50%"),"No Aplica",'LISTAS PPTO'!AO77)))</f>
        <v>0</v>
      </c>
      <c r="B95" s="930" t="str">
        <f>IF(A95="Sin Recaudo","Sin Recaudo",IF(A95="No Aplica","No Aplica",IF(A95='LISTAS PPTO'!AO77,'LISTAS PPTO'!AP77,'LISTAS PPTO'!AP77)))</f>
        <v>VIGENCIAS FUTURAS</v>
      </c>
      <c r="C95" s="2206">
        <v>520000</v>
      </c>
      <c r="D95" s="914">
        <f t="shared" si="21"/>
        <v>1</v>
      </c>
      <c r="E95" s="2206">
        <v>1500000</v>
      </c>
      <c r="F95" s="914">
        <f t="shared" si="22"/>
        <v>1</v>
      </c>
      <c r="G95" s="915">
        <f t="shared" si="15"/>
        <v>980000</v>
      </c>
      <c r="H95" s="914">
        <f t="shared" si="16"/>
        <v>0.65333333333333332</v>
      </c>
      <c r="I95" s="2210"/>
      <c r="J95" s="2206">
        <v>12003</v>
      </c>
      <c r="K95" s="2206"/>
      <c r="L95" s="2206"/>
      <c r="M95" s="969">
        <f t="shared" si="17"/>
        <v>12003</v>
      </c>
      <c r="N95" s="2206">
        <v>120000000</v>
      </c>
      <c r="O95" s="914">
        <f t="shared" si="18"/>
        <v>80</v>
      </c>
      <c r="P95" s="2206">
        <v>12003</v>
      </c>
      <c r="Q95" s="914">
        <f t="shared" si="19"/>
        <v>8.0020000000000004E-3</v>
      </c>
      <c r="R95" s="1115"/>
      <c r="S95" s="2210"/>
      <c r="AT95" s="296" t="str">
        <f t="shared" si="20"/>
        <v>0-VIGENCIAS FUTURAS</v>
      </c>
    </row>
    <row r="96" spans="1:46" ht="18" customHeight="1" x14ac:dyDescent="0.25">
      <c r="A96" s="929">
        <f>IF(VLOOKUP($B$8,'LISTAS PPTO'!$F$3:$I$100,4)="X","Sin Recaudo",IF(OR(VLOOKUP($B$8,'LISTAS PPTO'!$F$3:$G$100,2)="Empresa Industrial y Comercial",VLOOKUP($B$8,'LISTAS PPTO'!$F$3:$G$100,2)="Subred"),'LISTAS PPTO'!AO78,IF(OR(VLOOKUP($B$8,'LISTAS PPTO'!$F$3:$G$100,2)="Mixta",VLOOKUP($B$8,'LISTAS PPTO'!$F$3:$G$100,2)="Menor 50%"),"No Aplica",'LISTAS PPTO'!AO78)))</f>
        <v>0</v>
      </c>
      <c r="B96" s="968">
        <f>IF(A96="Sin Recaudo","Sin Recaudo",IF(A96="No Aplica","No Aplica",IF(A96='LISTAS PPTO'!AO78,'LISTAS PPTO'!AP78,'LISTAS PPTO'!AP78)))</f>
        <v>0</v>
      </c>
      <c r="C96" s="2206"/>
      <c r="D96" s="914" t="str">
        <f t="shared" si="21"/>
        <v/>
      </c>
      <c r="E96" s="2206"/>
      <c r="F96" s="914" t="str">
        <f t="shared" si="22"/>
        <v/>
      </c>
      <c r="G96" s="915" t="str">
        <f t="shared" si="15"/>
        <v/>
      </c>
      <c r="H96" s="914"/>
      <c r="I96" s="2210"/>
      <c r="J96" s="2206"/>
      <c r="K96" s="2206"/>
      <c r="L96" s="2206"/>
      <c r="M96" s="915" t="str">
        <f t="shared" si="17"/>
        <v/>
      </c>
      <c r="N96" s="2206"/>
      <c r="O96" s="914" t="str">
        <f t="shared" si="18"/>
        <v/>
      </c>
      <c r="P96" s="2206"/>
      <c r="Q96" s="914" t="str">
        <f t="shared" si="19"/>
        <v/>
      </c>
      <c r="R96" s="1115"/>
      <c r="S96" s="2210"/>
      <c r="AT96" s="296" t="str">
        <f t="shared" si="20"/>
        <v>0-0</v>
      </c>
    </row>
    <row r="97" spans="1:46" ht="24" customHeight="1" x14ac:dyDescent="0.25">
      <c r="A97" s="1714" t="s">
        <v>1694</v>
      </c>
      <c r="B97" s="1714"/>
      <c r="C97" s="1715" t="s">
        <v>1695</v>
      </c>
      <c r="D97" s="1716"/>
      <c r="E97" s="1716"/>
      <c r="F97" s="1717"/>
      <c r="G97" s="1292"/>
      <c r="H97" s="1292"/>
      <c r="I97" s="1292"/>
      <c r="J97" s="1292"/>
      <c r="K97" s="1292"/>
      <c r="L97" s="1292"/>
      <c r="M97" s="1292"/>
      <c r="N97" s="1292"/>
      <c r="O97" s="1292"/>
      <c r="P97" s="1292"/>
      <c r="Q97" s="1292"/>
      <c r="R97" s="1292"/>
      <c r="S97" s="1292"/>
      <c r="AT97" s="296"/>
    </row>
    <row r="98" spans="1:46" ht="32.25" customHeight="1" x14ac:dyDescent="0.25">
      <c r="A98" s="1714"/>
      <c r="B98" s="1714"/>
      <c r="C98" s="1718"/>
      <c r="D98" s="1719"/>
      <c r="E98" s="1719"/>
      <c r="F98" s="1720"/>
      <c r="G98" s="1292"/>
      <c r="H98" s="1292"/>
      <c r="I98" s="1292"/>
      <c r="J98" s="1292"/>
      <c r="K98" s="1292"/>
      <c r="L98" s="1292"/>
      <c r="M98" s="1292"/>
      <c r="N98" s="1292"/>
      <c r="O98" s="1292"/>
      <c r="P98" s="1292"/>
      <c r="Q98" s="1292"/>
      <c r="R98" s="1292"/>
      <c r="S98" s="1292"/>
      <c r="AT98" s="296"/>
    </row>
    <row r="99" spans="1:46" ht="15" x14ac:dyDescent="0.25">
      <c r="A99" s="931"/>
      <c r="B99" s="931"/>
      <c r="C99" s="932"/>
      <c r="D99" s="932"/>
      <c r="E99" s="932"/>
      <c r="F99" s="932"/>
      <c r="G99" s="932"/>
      <c r="H99" s="932"/>
      <c r="I99" s="932"/>
      <c r="J99" s="932"/>
      <c r="K99" s="932"/>
      <c r="L99" s="932"/>
      <c r="M99" s="932"/>
      <c r="N99" s="932"/>
      <c r="O99" s="932"/>
      <c r="P99" s="932"/>
      <c r="Q99" s="932"/>
      <c r="R99" s="932"/>
      <c r="S99" s="932"/>
      <c r="AT99" s="296" t="str">
        <f>CONCATENATE(A96,"-",B96)</f>
        <v>0-0</v>
      </c>
    </row>
    <row r="100" spans="1:46" ht="15" thickBot="1" x14ac:dyDescent="0.3">
      <c r="A100" s="271"/>
      <c r="C100" s="271"/>
      <c r="D100" s="271"/>
      <c r="E100" s="271"/>
      <c r="F100" s="271"/>
      <c r="G100" s="630"/>
      <c r="H100" s="630"/>
      <c r="I100" s="630"/>
      <c r="J100" s="630"/>
      <c r="K100" s="630"/>
      <c r="L100" s="630"/>
      <c r="M100" s="630"/>
      <c r="N100" s="630"/>
      <c r="O100" s="630"/>
      <c r="P100" s="630"/>
      <c r="Q100" s="630"/>
      <c r="R100" s="630"/>
    </row>
    <row r="101" spans="1:46" ht="71.25" customHeight="1" x14ac:dyDescent="0.25">
      <c r="A101" s="2219" t="s">
        <v>679</v>
      </c>
      <c r="B101" s="2220"/>
      <c r="C101" s="2220"/>
      <c r="D101" s="2221"/>
      <c r="E101" s="271"/>
      <c r="F101" s="271"/>
      <c r="G101" s="783"/>
      <c r="H101" s="783"/>
      <c r="I101" s="783"/>
      <c r="J101" s="783"/>
      <c r="K101" s="783"/>
      <c r="L101" s="783"/>
      <c r="M101" s="783"/>
      <c r="N101" s="783"/>
      <c r="O101" s="783"/>
      <c r="P101" s="783"/>
      <c r="Q101" s="783"/>
      <c r="R101" s="735"/>
    </row>
    <row r="102" spans="1:46" ht="88.5" customHeight="1" thickBot="1" x14ac:dyDescent="0.3">
      <c r="A102" s="2222"/>
      <c r="B102" s="2223"/>
      <c r="C102" s="2223"/>
      <c r="D102" s="2224"/>
      <c r="E102" s="271"/>
      <c r="F102" s="271"/>
      <c r="G102" s="783"/>
      <c r="H102" s="783"/>
      <c r="I102" s="783"/>
      <c r="J102" s="783"/>
      <c r="K102" s="783"/>
      <c r="L102" s="783"/>
      <c r="M102" s="783"/>
      <c r="N102" s="783"/>
      <c r="O102" s="783"/>
      <c r="P102" s="783"/>
      <c r="Q102" s="783"/>
      <c r="R102" s="735"/>
    </row>
    <row r="103" spans="1:46" ht="15" thickBot="1" x14ac:dyDescent="0.3">
      <c r="A103" s="631"/>
      <c r="B103" s="737" t="s">
        <v>857</v>
      </c>
      <c r="C103" s="737" t="s">
        <v>1428</v>
      </c>
      <c r="D103" s="631"/>
    </row>
    <row r="104" spans="1:46" ht="33" customHeight="1" x14ac:dyDescent="0.25">
      <c r="A104" s="2126" t="s">
        <v>680</v>
      </c>
      <c r="B104" s="2225"/>
      <c r="C104" s="2226"/>
      <c r="D104" s="631"/>
      <c r="E104" s="933"/>
    </row>
    <row r="105" spans="1:46" ht="33" customHeight="1" x14ac:dyDescent="0.25">
      <c r="A105" s="2129"/>
      <c r="B105" s="2227"/>
      <c r="C105" s="2228"/>
      <c r="D105" s="631"/>
      <c r="E105" s="933"/>
    </row>
    <row r="106" spans="1:46" ht="34.5" customHeight="1" thickBot="1" x14ac:dyDescent="0.3">
      <c r="A106" s="2129"/>
      <c r="B106" s="2229"/>
      <c r="C106" s="2230"/>
      <c r="D106" s="631"/>
    </row>
    <row r="107" spans="1:46" ht="34.5" customHeight="1" x14ac:dyDescent="0.25">
      <c r="A107" s="2089" t="s">
        <v>1429</v>
      </c>
      <c r="B107" s="2231"/>
      <c r="C107" s="2226"/>
      <c r="D107" s="631"/>
    </row>
    <row r="108" spans="1:46" ht="34.5" customHeight="1" x14ac:dyDescent="0.25">
      <c r="A108" s="2094"/>
      <c r="B108" s="2232"/>
      <c r="C108" s="2228"/>
      <c r="D108" s="631"/>
    </row>
    <row r="109" spans="1:46" ht="34.5" customHeight="1" thickBot="1" x14ac:dyDescent="0.3">
      <c r="A109" s="2095"/>
      <c r="B109" s="2233"/>
      <c r="C109" s="2234"/>
      <c r="D109" s="631"/>
    </row>
    <row r="110" spans="1:46" ht="96" customHeight="1" thickBot="1" x14ac:dyDescent="0.3">
      <c r="A110" s="2235" t="s">
        <v>1430</v>
      </c>
      <c r="B110" s="2236"/>
      <c r="C110" s="2237"/>
      <c r="D110" s="631"/>
    </row>
    <row r="111" spans="1:46" ht="34.5" customHeight="1" thickBot="1" x14ac:dyDescent="0.3">
      <c r="A111" s="2238" t="s">
        <v>681</v>
      </c>
      <c r="B111" s="2239"/>
      <c r="C111" s="2240"/>
      <c r="D111" s="631"/>
    </row>
    <row r="112" spans="1:46" x14ac:dyDescent="0.25">
      <c r="A112" s="733"/>
      <c r="B112" s="732"/>
    </row>
    <row r="113" spans="1:5" ht="36" customHeight="1" x14ac:dyDescent="0.25">
      <c r="A113" s="1553" t="s">
        <v>1696</v>
      </c>
      <c r="B113" s="1553"/>
      <c r="C113" s="1553"/>
      <c r="D113" s="1553"/>
      <c r="E113" s="1553"/>
    </row>
    <row r="114" spans="1:5" ht="15" x14ac:dyDescent="0.25">
      <c r="A114" s="630" t="s">
        <v>1697</v>
      </c>
      <c r="B114" s="630"/>
      <c r="C114" s="630"/>
      <c r="D114" s="630"/>
    </row>
    <row r="115" spans="1:5" ht="15" x14ac:dyDescent="0.25">
      <c r="A115" s="630" t="s">
        <v>1698</v>
      </c>
      <c r="B115" s="630"/>
      <c r="C115" s="630"/>
      <c r="D115" s="630"/>
    </row>
    <row r="116" spans="1:5" ht="15.75" customHeight="1" x14ac:dyDescent="0.25">
      <c r="A116" s="294" t="s">
        <v>1699</v>
      </c>
    </row>
  </sheetData>
  <sheetProtection algorithmName="SHA-512" hashValue="yf7bwJCcp7wJeDDN3ztvblKVPV+tJGA2BsjuK4aPf/JNGXZykzqEobnAk4Q9lN4YCMHWXYSJKU8XpQnPHtT65g==" saltValue="zJW2V59BUvPEEqLLEO0xag==" spinCount="100000" sheet="1" objects="1" scenarios="1"/>
  <mergeCells count="115">
    <mergeCell ref="A104:A106"/>
    <mergeCell ref="A107:A109"/>
    <mergeCell ref="A113:E113"/>
    <mergeCell ref="M97:N98"/>
    <mergeCell ref="O97:P98"/>
    <mergeCell ref="Q97:R98"/>
    <mergeCell ref="S97:S98"/>
    <mergeCell ref="A101:A102"/>
    <mergeCell ref="B101:D102"/>
    <mergeCell ref="Q86:Q87"/>
    <mergeCell ref="R86:R87"/>
    <mergeCell ref="S86:S87"/>
    <mergeCell ref="A97:B98"/>
    <mergeCell ref="C97:F98"/>
    <mergeCell ref="G97:H98"/>
    <mergeCell ref="I97:J98"/>
    <mergeCell ref="K97:L98"/>
    <mergeCell ref="H86:H87"/>
    <mergeCell ref="I86:I87"/>
    <mergeCell ref="J86:J87"/>
    <mergeCell ref="K86:L86"/>
    <mergeCell ref="M86:M87"/>
    <mergeCell ref="N86:N87"/>
    <mergeCell ref="A86:A87"/>
    <mergeCell ref="B86:B87"/>
    <mergeCell ref="C86:C87"/>
    <mergeCell ref="D86:D87"/>
    <mergeCell ref="E86:E87"/>
    <mergeCell ref="F86:F87"/>
    <mergeCell ref="G86:G87"/>
    <mergeCell ref="O86:O87"/>
    <mergeCell ref="P86:P87"/>
    <mergeCell ref="S47:S48"/>
    <mergeCell ref="G47:G48"/>
    <mergeCell ref="H47:H48"/>
    <mergeCell ref="I47:I48"/>
    <mergeCell ref="J47:J48"/>
    <mergeCell ref="K47:L47"/>
    <mergeCell ref="M47:M48"/>
    <mergeCell ref="A84:B85"/>
    <mergeCell ref="C84:I85"/>
    <mergeCell ref="J84:R85"/>
    <mergeCell ref="O44:Q44"/>
    <mergeCell ref="A45:B46"/>
    <mergeCell ref="C45:I46"/>
    <mergeCell ref="J45:R46"/>
    <mergeCell ref="A47:A48"/>
    <mergeCell ref="B47:B48"/>
    <mergeCell ref="C47:C48"/>
    <mergeCell ref="D47:D48"/>
    <mergeCell ref="E47:E48"/>
    <mergeCell ref="F47:F48"/>
    <mergeCell ref="N47:N48"/>
    <mergeCell ref="O47:O48"/>
    <mergeCell ref="P47:P48"/>
    <mergeCell ref="Q47:Q48"/>
    <mergeCell ref="R47:R48"/>
    <mergeCell ref="O38:Q38"/>
    <mergeCell ref="O39:Q39"/>
    <mergeCell ref="O40:Q40"/>
    <mergeCell ref="O41:Q41"/>
    <mergeCell ref="O42:Q42"/>
    <mergeCell ref="O43:Q43"/>
    <mergeCell ref="O32:Q32"/>
    <mergeCell ref="O33:Q33"/>
    <mergeCell ref="O34:Q34"/>
    <mergeCell ref="O35:Q35"/>
    <mergeCell ref="O36:Q36"/>
    <mergeCell ref="O37:Q37"/>
    <mergeCell ref="O26:Q26"/>
    <mergeCell ref="O27:Q27"/>
    <mergeCell ref="O28:Q28"/>
    <mergeCell ref="O29:Q29"/>
    <mergeCell ref="O30:Q30"/>
    <mergeCell ref="O31:Q31"/>
    <mergeCell ref="O20:Q20"/>
    <mergeCell ref="O21:Q21"/>
    <mergeCell ref="O22:Q22"/>
    <mergeCell ref="O23:Q23"/>
    <mergeCell ref="O24:Q24"/>
    <mergeCell ref="O25:Q25"/>
    <mergeCell ref="A17:S17"/>
    <mergeCell ref="O18:Q18"/>
    <mergeCell ref="O19:Q19"/>
    <mergeCell ref="H15:H16"/>
    <mergeCell ref="I15:I16"/>
    <mergeCell ref="J15:J16"/>
    <mergeCell ref="K15:L15"/>
    <mergeCell ref="M15:M16"/>
    <mergeCell ref="N15:N16"/>
    <mergeCell ref="R15:R16"/>
    <mergeCell ref="S1:S2"/>
    <mergeCell ref="B7:C7"/>
    <mergeCell ref="B8:C8"/>
    <mergeCell ref="F8:G8"/>
    <mergeCell ref="B9:C9"/>
    <mergeCell ref="F9:G9"/>
    <mergeCell ref="A4:G4"/>
    <mergeCell ref="A5:G5"/>
    <mergeCell ref="S15:S16"/>
    <mergeCell ref="B1:R2"/>
    <mergeCell ref="B10:C10"/>
    <mergeCell ref="F10:G10"/>
    <mergeCell ref="A1:A2"/>
    <mergeCell ref="A13:B14"/>
    <mergeCell ref="C13:I14"/>
    <mergeCell ref="J13:R14"/>
    <mergeCell ref="A15:A16"/>
    <mergeCell ref="B15:B16"/>
    <mergeCell ref="C15:C16"/>
    <mergeCell ref="D15:D16"/>
    <mergeCell ref="E15:E16"/>
    <mergeCell ref="F15:F16"/>
    <mergeCell ref="G15:G16"/>
    <mergeCell ref="O15:Q16"/>
  </mergeCells>
  <conditionalFormatting sqref="B1">
    <cfRule type="cellIs" dxfId="193" priority="1" operator="equal">
      <formula>"ERROR"</formula>
    </cfRule>
  </conditionalFormatting>
  <dataValidations count="1">
    <dataValidation type="list" allowBlank="1" showInputMessage="1" showErrorMessage="1" sqref="R97:R99">
      <formula1>#REF!</formula1>
    </dataValidation>
  </dataValidations>
  <pageMargins left="0.7" right="0.7" top="0.75" bottom="0.75" header="0.3" footer="0.3"/>
  <ignoredErrors>
    <ignoredError sqref="F8:G10" unlockedFormula="1"/>
  </ignoredErrors>
  <drawing r:id="rId1"/>
  <extLst>
    <ext xmlns:x14="http://schemas.microsoft.com/office/spreadsheetml/2009/9/main" uri="{CCE6A557-97BC-4b89-ADB6-D9C93CAAB3DF}">
      <x14:dataValidations xmlns:xm="http://schemas.microsoft.com/office/excel/2006/main" count="2">
        <x14:dataValidation type="list" allowBlank="1" showInputMessage="1" showErrorMessage="1">
          <x14:formula1>
            <xm:f>[3]LISTAS!#REF!</xm:f>
          </x14:formula1>
          <xm:sqref>R44</xm:sqref>
        </x14:dataValidation>
        <x14:dataValidation type="list" allowBlank="1" showInputMessage="1" showErrorMessage="1">
          <x14:formula1>
            <xm:f>'LISTAS PPTO'!$AF$81:$AF$82</xm:f>
          </x14:formula1>
          <xm:sqref>R18:R43 R49:R83 R88:R96</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BI304"/>
  <sheetViews>
    <sheetView zoomScaleNormal="100" workbookViewId="0">
      <selection activeCell="B104" sqref="B104:C104"/>
    </sheetView>
  </sheetViews>
  <sheetFormatPr baseColWidth="10" defaultColWidth="11.42578125" defaultRowHeight="15" x14ac:dyDescent="0.25"/>
  <cols>
    <col min="1" max="1" width="30.42578125" style="410" customWidth="1"/>
    <col min="2" max="2" width="17.7109375" style="410" customWidth="1"/>
    <col min="3" max="3" width="30.5703125" style="410" customWidth="1"/>
    <col min="4" max="4" width="29.42578125" style="410" customWidth="1"/>
    <col min="5" max="5" width="27.42578125" style="985" customWidth="1"/>
    <col min="6" max="6" width="23.28515625" style="985" customWidth="1"/>
    <col min="7" max="7" width="12" style="985" customWidth="1"/>
    <col min="8" max="8" width="16.140625" style="985" customWidth="1"/>
    <col min="9" max="9" width="3.7109375" style="985" customWidth="1"/>
    <col min="10" max="10" width="18.42578125" style="985" customWidth="1"/>
    <col min="11" max="11" width="24.140625" style="985" customWidth="1"/>
    <col min="12" max="12" width="15.140625" style="410" customWidth="1"/>
    <col min="13" max="13" width="12.42578125" style="410" customWidth="1"/>
    <col min="14" max="15" width="11.42578125" style="410"/>
    <col min="16" max="16" width="16.42578125" style="410" customWidth="1"/>
    <col min="17" max="16384" width="11.42578125" style="410"/>
  </cols>
  <sheetData>
    <row r="2" spans="1:61" ht="26.25" customHeight="1" x14ac:dyDescent="0.25">
      <c r="A2" s="1722"/>
      <c r="B2" s="1724" t="s">
        <v>1786</v>
      </c>
      <c r="C2" s="1725"/>
      <c r="D2" s="1725"/>
      <c r="E2" s="1725"/>
      <c r="F2" s="1725"/>
      <c r="G2" s="1726"/>
      <c r="H2" s="1721" t="s">
        <v>1785</v>
      </c>
    </row>
    <row r="3" spans="1:61" ht="51.75" customHeight="1" x14ac:dyDescent="0.25">
      <c r="A3" s="1723"/>
      <c r="B3" s="1727"/>
      <c r="C3" s="1728"/>
      <c r="D3" s="1728"/>
      <c r="E3" s="1728"/>
      <c r="F3" s="1728"/>
      <c r="G3" s="1729"/>
      <c r="H3" s="1721"/>
    </row>
    <row r="6" spans="1:61" s="388" customFormat="1" ht="31.5" customHeight="1" x14ac:dyDescent="0.25">
      <c r="A6" s="1783"/>
      <c r="B6" s="1784" t="s">
        <v>1612</v>
      </c>
      <c r="C6" s="1784"/>
      <c r="D6" s="1784"/>
      <c r="E6" s="1784"/>
      <c r="F6" s="1784"/>
      <c r="G6" s="971"/>
      <c r="H6" s="971" t="s">
        <v>144</v>
      </c>
      <c r="I6" s="971"/>
      <c r="J6" s="971"/>
      <c r="K6" s="971"/>
    </row>
    <row r="7" spans="1:61" s="388" customFormat="1" ht="31.5" customHeight="1" x14ac:dyDescent="0.25">
      <c r="A7" s="1783"/>
      <c r="B7" s="1785" t="s">
        <v>785</v>
      </c>
      <c r="C7" s="1785"/>
      <c r="D7" s="1785"/>
      <c r="E7" s="1785"/>
      <c r="F7" s="1785"/>
      <c r="G7" s="972"/>
      <c r="H7" s="972"/>
      <c r="I7" s="971"/>
      <c r="J7" s="971"/>
      <c r="K7" s="971"/>
    </row>
    <row r="8" spans="1:61" s="388" customFormat="1" ht="27" customHeight="1" x14ac:dyDescent="0.25">
      <c r="B8" s="1786" t="s">
        <v>1715</v>
      </c>
      <c r="C8" s="1786"/>
      <c r="D8" s="1786"/>
      <c r="E8" s="1786"/>
      <c r="F8" s="1786"/>
      <c r="G8" s="971"/>
      <c r="H8" s="971"/>
      <c r="I8" s="971"/>
      <c r="J8" s="971"/>
      <c r="K8" s="971"/>
    </row>
    <row r="9" spans="1:61" s="391" customFormat="1" ht="12" customHeight="1" x14ac:dyDescent="0.25">
      <c r="A9" s="2241" t="s">
        <v>786</v>
      </c>
      <c r="B9" s="2242" t="str">
        <f>+'ANALÍTICA ESTADO SITUACIÓN F'!C7</f>
        <v>208 - Caja de Vivienda Popular – CVP</v>
      </c>
      <c r="C9" s="2242"/>
      <c r="D9" s="971"/>
      <c r="E9" s="2243" t="s">
        <v>787</v>
      </c>
      <c r="F9" s="2244">
        <f>+'ANALÍTICA ESTADO SITUACIÓN F'!H7</f>
        <v>2023</v>
      </c>
      <c r="G9" s="973"/>
      <c r="H9" s="974"/>
      <c r="I9" s="974"/>
      <c r="J9" s="974"/>
      <c r="K9" s="390"/>
      <c r="L9" s="390"/>
      <c r="M9" s="390"/>
      <c r="N9" s="390"/>
      <c r="Q9" s="392"/>
      <c r="R9" s="390"/>
      <c r="S9" s="393"/>
      <c r="T9" s="393"/>
      <c r="U9" s="393"/>
      <c r="V9" s="393"/>
      <c r="W9"/>
      <c r="X9"/>
      <c r="Y9"/>
      <c r="Z9"/>
      <c r="AA9"/>
      <c r="AB9"/>
      <c r="AC9"/>
      <c r="AD9"/>
      <c r="AE9"/>
      <c r="AF9"/>
      <c r="AG9"/>
      <c r="AH9"/>
      <c r="AI9"/>
      <c r="AJ9"/>
      <c r="AK9"/>
      <c r="AL9"/>
      <c r="AM9"/>
      <c r="AN9"/>
      <c r="AO9"/>
      <c r="AP9"/>
      <c r="AQ9"/>
      <c r="AR9"/>
      <c r="AS9"/>
      <c r="AT9"/>
      <c r="AU9"/>
      <c r="AV9"/>
      <c r="AW9"/>
      <c r="AX9"/>
      <c r="AY9"/>
      <c r="AZ9"/>
      <c r="BA9"/>
      <c r="BB9"/>
      <c r="BC9"/>
      <c r="BD9"/>
      <c r="BE9"/>
      <c r="BF9"/>
      <c r="BG9"/>
      <c r="BH9" s="394" t="s">
        <v>788</v>
      </c>
      <c r="BI9" s="394" t="s">
        <v>157</v>
      </c>
    </row>
    <row r="10" spans="1:61" s="391" customFormat="1" ht="14.25" customHeight="1" x14ac:dyDescent="0.25">
      <c r="A10" s="2245" t="s">
        <v>789</v>
      </c>
      <c r="B10" s="2246">
        <f>+'ANALÍTICA ESTADO SITUACIÓN F'!C9</f>
        <v>45580</v>
      </c>
      <c r="C10" s="2246"/>
      <c r="D10" s="971"/>
      <c r="E10" s="2243" t="s">
        <v>1783</v>
      </c>
      <c r="F10" s="2244">
        <f>+'ANALÍTICA ESTADO SITUACIÓN F'!C8</f>
        <v>2025</v>
      </c>
      <c r="G10" s="973"/>
      <c r="H10" s="974"/>
      <c r="I10" s="974"/>
      <c r="J10" s="974"/>
      <c r="K10" s="395"/>
      <c r="L10" s="395"/>
      <c r="M10" s="395"/>
      <c r="N10" s="395"/>
      <c r="O10" s="390"/>
      <c r="P10" s="390"/>
      <c r="Q10" s="396"/>
      <c r="R10" s="390"/>
      <c r="S10" s="397"/>
      <c r="T10" s="397"/>
      <c r="U10" s="397"/>
      <c r="V10" s="397"/>
      <c r="W10"/>
      <c r="X10"/>
      <c r="Y10"/>
      <c r="Z10"/>
      <c r="AA10"/>
      <c r="AB10"/>
      <c r="AC10"/>
      <c r="AD10"/>
      <c r="AE10"/>
      <c r="AF10"/>
      <c r="AG10"/>
      <c r="AH10"/>
      <c r="AI10"/>
      <c r="AJ10"/>
      <c r="AK10"/>
      <c r="AL10"/>
      <c r="AM10"/>
      <c r="AN10"/>
      <c r="AO10"/>
      <c r="AP10"/>
      <c r="AQ10"/>
      <c r="AR10"/>
      <c r="AS10"/>
      <c r="AT10"/>
      <c r="AU10"/>
      <c r="AV10"/>
      <c r="AW10"/>
      <c r="AX10"/>
      <c r="AY10"/>
      <c r="AZ10"/>
      <c r="BA10"/>
      <c r="BB10"/>
      <c r="BC10"/>
      <c r="BD10"/>
      <c r="BE10"/>
      <c r="BF10"/>
      <c r="BG10"/>
      <c r="BH10" s="398" t="s">
        <v>790</v>
      </c>
      <c r="BI10" s="398" t="s">
        <v>791</v>
      </c>
    </row>
    <row r="11" spans="1:61" s="391" customFormat="1" ht="15" customHeight="1" x14ac:dyDescent="0.25">
      <c r="A11" s="2245" t="s">
        <v>5</v>
      </c>
      <c r="B11" s="2246">
        <f>+'ANALÍTICA ESTADO SITUACIÓN F'!H9</f>
        <v>45580</v>
      </c>
      <c r="C11" s="2246"/>
      <c r="D11" s="971"/>
      <c r="E11" s="2247" t="s">
        <v>792</v>
      </c>
      <c r="F11" s="2248"/>
      <c r="G11" s="975"/>
      <c r="H11" s="975"/>
      <c r="I11" s="975"/>
      <c r="J11" s="975"/>
      <c r="K11" s="395"/>
      <c r="L11" s="395"/>
      <c r="M11" s="395"/>
      <c r="N11" s="395"/>
      <c r="O11" s="390"/>
      <c r="P11" s="390"/>
      <c r="Q11" s="396"/>
      <c r="R11" s="390"/>
      <c r="S11" s="397"/>
      <c r="T11" s="397"/>
      <c r="U11" s="397"/>
      <c r="V11" s="397"/>
      <c r="W11" s="397"/>
      <c r="X11" s="397"/>
      <c r="Y11" s="397"/>
      <c r="Z11" s="399"/>
      <c r="AA11" s="399"/>
      <c r="AB11" s="397"/>
      <c r="AC11" s="397"/>
      <c r="AD11" s="397"/>
      <c r="AE11" s="397"/>
      <c r="AF11" s="397"/>
      <c r="AG11" s="397"/>
      <c r="AH11" s="397"/>
      <c r="AI11" s="400"/>
      <c r="AJ11" s="401"/>
      <c r="AK11" s="389"/>
      <c r="AL11" s="389"/>
      <c r="AM11" s="389"/>
      <c r="AN11" s="389"/>
      <c r="AO11" s="389"/>
      <c r="AP11" s="389"/>
      <c r="AQ11" s="389"/>
      <c r="AR11" s="402"/>
      <c r="AT11" s="403"/>
      <c r="AU11" s="404"/>
      <c r="AV11" s="405"/>
      <c r="AW11" s="389"/>
      <c r="AX11" s="406"/>
      <c r="AY11" s="389"/>
      <c r="AZ11" s="389"/>
      <c r="BA11" s="389"/>
      <c r="BB11" s="389"/>
      <c r="BC11" s="389"/>
      <c r="BG11" s="407"/>
      <c r="BH11" s="408" t="s">
        <v>793</v>
      </c>
      <c r="BI11" s="408" t="s">
        <v>155</v>
      </c>
    </row>
    <row r="12" spans="1:61" x14ac:dyDescent="0.25">
      <c r="A12" s="409"/>
      <c r="B12" s="409"/>
      <c r="C12" s="388"/>
      <c r="D12" s="388"/>
      <c r="E12" s="976"/>
      <c r="F12" s="971"/>
      <c r="G12" s="971"/>
      <c r="H12" s="971"/>
      <c r="I12" s="971"/>
      <c r="J12" s="971"/>
      <c r="K12" s="971"/>
      <c r="L12" s="388"/>
      <c r="M12" s="388"/>
    </row>
    <row r="13" spans="1:61" x14ac:dyDescent="0.25">
      <c r="A13" s="2249"/>
      <c r="B13" s="2249"/>
      <c r="C13" s="2249"/>
      <c r="D13" s="2249"/>
      <c r="E13" s="2250"/>
      <c r="F13" s="2250"/>
      <c r="G13" s="977"/>
      <c r="H13" s="978"/>
      <c r="I13" s="978"/>
      <c r="J13" s="977"/>
      <c r="K13" s="977"/>
      <c r="L13" s="411"/>
      <c r="M13" s="411"/>
    </row>
    <row r="14" spans="1:61" ht="15.75" x14ac:dyDescent="0.25">
      <c r="A14" s="1780" t="s">
        <v>794</v>
      </c>
      <c r="B14" s="1781"/>
      <c r="C14" s="1781"/>
      <c r="D14" s="1781"/>
      <c r="E14" s="1781"/>
      <c r="F14" s="1782"/>
      <c r="G14" s="979"/>
      <c r="H14" s="980"/>
      <c r="I14" s="980"/>
      <c r="J14" s="980"/>
      <c r="K14" s="980"/>
      <c r="L14" s="412"/>
      <c r="M14" s="412"/>
    </row>
    <row r="15" spans="1:61" ht="51.75" customHeight="1" x14ac:dyDescent="0.25">
      <c r="A15" s="1753" t="s">
        <v>795</v>
      </c>
      <c r="B15" s="1754"/>
      <c r="C15" s="1754"/>
      <c r="D15" s="1754"/>
      <c r="E15" s="1754"/>
      <c r="F15" s="1755"/>
      <c r="G15" s="981"/>
      <c r="H15" s="982"/>
      <c r="I15" s="983"/>
      <c r="J15" s="983"/>
      <c r="K15" s="983"/>
      <c r="L15" s="414"/>
      <c r="M15" s="414"/>
    </row>
    <row r="16" spans="1:61" ht="12.75" customHeight="1" x14ac:dyDescent="0.25">
      <c r="A16" s="415"/>
      <c r="B16" s="415"/>
      <c r="C16" s="415"/>
      <c r="D16" s="415"/>
      <c r="E16" s="984"/>
      <c r="F16" s="984"/>
      <c r="G16" s="983"/>
      <c r="H16" s="983"/>
      <c r="I16" s="983"/>
    </row>
    <row r="17" spans="1:20" ht="15.75" x14ac:dyDescent="0.25">
      <c r="A17" s="415"/>
      <c r="B17" s="415"/>
      <c r="C17" s="415"/>
      <c r="D17" s="415"/>
      <c r="E17" s="984"/>
      <c r="F17" s="984"/>
      <c r="G17" s="983"/>
      <c r="H17" s="986"/>
      <c r="I17" s="983"/>
      <c r="J17" s="987"/>
      <c r="K17" s="988"/>
      <c r="L17" s="416"/>
      <c r="M17" s="417"/>
      <c r="N17" s="418"/>
      <c r="O17" s="419"/>
      <c r="P17" s="420"/>
      <c r="Q17" s="421"/>
      <c r="R17" s="420"/>
      <c r="S17" s="422"/>
      <c r="T17" s="418"/>
    </row>
    <row r="18" spans="1:20" ht="15" customHeight="1" x14ac:dyDescent="0.25">
      <c r="A18" s="1780" t="s">
        <v>1808</v>
      </c>
      <c r="B18" s="1781"/>
      <c r="C18" s="1781"/>
      <c r="D18" s="1781"/>
      <c r="E18" s="1781"/>
      <c r="F18" s="1782"/>
      <c r="G18" s="971"/>
      <c r="H18" s="989"/>
      <c r="I18" s="971"/>
    </row>
    <row r="19" spans="1:20" ht="96.6" customHeight="1" x14ac:dyDescent="0.25">
      <c r="A19" s="1777" t="s">
        <v>1800</v>
      </c>
      <c r="B19" s="1778"/>
      <c r="C19" s="1778"/>
      <c r="D19" s="1778"/>
      <c r="E19" s="1778"/>
      <c r="F19" s="1779"/>
      <c r="G19" s="971"/>
      <c r="H19" s="989"/>
      <c r="I19" s="971"/>
    </row>
    <row r="20" spans="1:20" s="388" customFormat="1" ht="32.25" customHeight="1" x14ac:dyDescent="0.25">
      <c r="A20" s="2251" t="s">
        <v>796</v>
      </c>
      <c r="B20" s="2252"/>
      <c r="C20" s="2253" t="s">
        <v>797</v>
      </c>
      <c r="D20" s="2253" t="s">
        <v>722</v>
      </c>
      <c r="E20" s="2254" t="s">
        <v>798</v>
      </c>
      <c r="F20" s="2254" t="s">
        <v>799</v>
      </c>
      <c r="G20" s="971"/>
      <c r="H20" s="971"/>
      <c r="I20" s="971"/>
      <c r="J20" s="971"/>
      <c r="K20" s="990"/>
    </row>
    <row r="21" spans="1:20" s="388" customFormat="1" ht="19.5" customHeight="1" x14ac:dyDescent="0.25">
      <c r="A21" s="1775" t="s">
        <v>716</v>
      </c>
      <c r="B21" s="1776"/>
      <c r="C21" s="2314" t="s">
        <v>132</v>
      </c>
      <c r="D21" s="2315" t="s">
        <v>1801</v>
      </c>
      <c r="E21" s="2316" t="s">
        <v>155</v>
      </c>
      <c r="F21" s="2317" t="s">
        <v>156</v>
      </c>
      <c r="G21" s="991"/>
      <c r="H21" s="971"/>
      <c r="I21" s="971"/>
      <c r="J21" s="971"/>
      <c r="K21" s="971"/>
    </row>
    <row r="22" spans="1:20" x14ac:dyDescent="0.25">
      <c r="A22" s="2255">
        <f>IF(A21="Negativa o abstención",3,IF(A21="Con salvedades",2,IF(A21="Sin salvedades",1,0)))</f>
        <v>2</v>
      </c>
      <c r="B22" s="2256"/>
      <c r="C22" s="2257">
        <f>IF(C21="Ineficiente",3,IF(C21="Con deficiencias",2,IF(C21="Eficiente",1,0)))</f>
        <v>2</v>
      </c>
      <c r="D22" s="2257">
        <f>IF(D21="No fenecida",3,IF(D21="Fenecida",1,0))</f>
        <v>0</v>
      </c>
      <c r="E22" s="2258">
        <f>IF(E21="Ineficiente",3,IF(E21="Parcialmente Adecuado",2,IF(E21="Eficiente",1,0)))</f>
        <v>3</v>
      </c>
      <c r="F22" s="2258">
        <f>IF(F21="Alto-Crítico",3,IF(F21="Medio",2,IF(F21="Bajo",1,0)))</f>
        <v>1</v>
      </c>
      <c r="G22" s="971"/>
      <c r="H22" s="971"/>
      <c r="I22" s="971"/>
      <c r="J22" s="971"/>
      <c r="K22" s="971"/>
      <c r="L22" s="388"/>
      <c r="M22" s="388"/>
    </row>
    <row r="23" spans="1:20" x14ac:dyDescent="0.25">
      <c r="E23" s="992"/>
      <c r="F23" s="992"/>
      <c r="G23" s="971"/>
      <c r="H23" s="971"/>
      <c r="I23" s="971"/>
      <c r="J23" s="971"/>
      <c r="K23" s="971"/>
      <c r="L23" s="388"/>
      <c r="M23" s="388"/>
    </row>
    <row r="24" spans="1:20" ht="62.25" customHeight="1" x14ac:dyDescent="0.25">
      <c r="A24" s="2259" t="s">
        <v>800</v>
      </c>
      <c r="B24" s="2260"/>
      <c r="C24" s="2261" t="s">
        <v>801</v>
      </c>
      <c r="D24" s="2261" t="s">
        <v>802</v>
      </c>
      <c r="G24" s="971"/>
      <c r="H24" s="971"/>
      <c r="I24" s="971"/>
      <c r="J24" s="971"/>
      <c r="K24" s="971"/>
      <c r="L24" s="388"/>
      <c r="M24" s="388"/>
    </row>
    <row r="25" spans="1:20" ht="19.5" customHeight="1" x14ac:dyDescent="0.25">
      <c r="A25" s="1773">
        <f>SUM(A22:F22)</f>
        <v>8</v>
      </c>
      <c r="B25" s="1774"/>
      <c r="C25" s="2262" t="str">
        <f>IF(ISERROR(A25),"SIN VALOR",IF(AND(A25&lt;6),D27,IF(AND(A25&gt;=6,A25&lt;11),D28,IF(AND(A25&gt;=11),D29))))</f>
        <v>Entre &gt;1,17% y &lt;=2,08%</v>
      </c>
      <c r="D25" s="423">
        <v>0.02</v>
      </c>
      <c r="G25" s="971"/>
      <c r="H25" s="971"/>
      <c r="I25" s="971"/>
      <c r="J25" s="971"/>
      <c r="K25" s="971"/>
      <c r="L25" s="388"/>
      <c r="M25" s="388"/>
    </row>
    <row r="26" spans="1:20" s="424" customFormat="1" x14ac:dyDescent="0.25">
      <c r="E26" s="993"/>
      <c r="F26" s="994"/>
      <c r="G26" s="995"/>
      <c r="H26" s="995"/>
      <c r="I26" s="995"/>
      <c r="J26" s="995"/>
      <c r="K26" s="995"/>
      <c r="L26" s="425"/>
      <c r="M26" s="425"/>
    </row>
    <row r="27" spans="1:20" s="425" customFormat="1" x14ac:dyDescent="0.25">
      <c r="A27" s="1773" t="s">
        <v>803</v>
      </c>
      <c r="B27" s="1774"/>
      <c r="C27" s="2263" t="s">
        <v>804</v>
      </c>
      <c r="D27" s="2264" t="s">
        <v>805</v>
      </c>
      <c r="E27" s="995"/>
      <c r="F27" s="995"/>
      <c r="G27" s="995"/>
      <c r="H27" s="995"/>
      <c r="I27" s="995"/>
      <c r="J27" s="995"/>
      <c r="K27" s="995"/>
    </row>
    <row r="28" spans="1:20" s="424" customFormat="1" ht="17.25" customHeight="1" x14ac:dyDescent="0.25">
      <c r="A28" s="1773" t="s">
        <v>806</v>
      </c>
      <c r="B28" s="1774"/>
      <c r="C28" s="2263" t="s">
        <v>807</v>
      </c>
      <c r="D28" s="2264" t="s">
        <v>808</v>
      </c>
      <c r="E28" s="993"/>
      <c r="F28" s="994"/>
      <c r="G28" s="995"/>
      <c r="H28" s="995"/>
      <c r="I28" s="995"/>
      <c r="J28" s="995"/>
      <c r="K28" s="995"/>
      <c r="L28" s="425"/>
      <c r="M28" s="425"/>
    </row>
    <row r="29" spans="1:20" ht="17.25" customHeight="1" x14ac:dyDescent="0.25">
      <c r="A29" s="1773" t="s">
        <v>809</v>
      </c>
      <c r="B29" s="1774"/>
      <c r="C29" s="2263" t="s">
        <v>810</v>
      </c>
      <c r="D29" s="2264" t="s">
        <v>811</v>
      </c>
      <c r="F29" s="971"/>
      <c r="G29" s="971"/>
      <c r="H29" s="971"/>
      <c r="I29" s="971"/>
      <c r="J29" s="971"/>
      <c r="K29" s="971"/>
      <c r="L29" s="388"/>
      <c r="M29" s="388"/>
    </row>
    <row r="30" spans="1:20" ht="17.25" customHeight="1" x14ac:dyDescent="0.25">
      <c r="A30" s="2265"/>
      <c r="B30" s="2265"/>
      <c r="C30" s="2265"/>
      <c r="D30" s="2265"/>
      <c r="E30" s="996"/>
      <c r="F30" s="971"/>
      <c r="G30" s="971"/>
      <c r="H30" s="971"/>
      <c r="I30" s="971"/>
      <c r="J30" s="971"/>
      <c r="K30" s="971"/>
      <c r="L30" s="388"/>
      <c r="M30" s="388"/>
    </row>
    <row r="31" spans="1:20" ht="21" customHeight="1" x14ac:dyDescent="0.25">
      <c r="A31" s="2266" t="s">
        <v>812</v>
      </c>
      <c r="B31" s="2267"/>
      <c r="C31" s="2267"/>
      <c r="D31" s="2268"/>
      <c r="E31" s="993"/>
      <c r="F31" s="993"/>
      <c r="G31" s="982"/>
      <c r="H31" s="982"/>
      <c r="I31" s="982"/>
      <c r="J31" s="982"/>
      <c r="K31" s="982"/>
      <c r="L31" s="413"/>
    </row>
    <row r="32" spans="1:20" ht="27.75" customHeight="1" x14ac:dyDescent="0.25">
      <c r="A32" s="2269" t="s">
        <v>1727</v>
      </c>
      <c r="B32" s="2270"/>
      <c r="C32" s="2270"/>
      <c r="D32" s="2270"/>
      <c r="E32" s="1770"/>
      <c r="F32" s="1771"/>
      <c r="G32" s="1768"/>
      <c r="H32" s="1768"/>
      <c r="I32" s="1768"/>
      <c r="J32" s="1768"/>
      <c r="K32" s="1769"/>
      <c r="L32" s="1769"/>
    </row>
    <row r="33" spans="1:20" ht="30" x14ac:dyDescent="0.25">
      <c r="A33" s="2271" t="s">
        <v>764</v>
      </c>
      <c r="B33" s="2272"/>
      <c r="C33" s="2273" t="s">
        <v>814</v>
      </c>
      <c r="D33" s="2274" t="s">
        <v>815</v>
      </c>
      <c r="E33" s="1770"/>
      <c r="F33" s="1771"/>
      <c r="G33" s="1772"/>
      <c r="H33" s="1772"/>
      <c r="I33" s="1772"/>
      <c r="J33" s="1772"/>
      <c r="K33" s="1769"/>
      <c r="L33" s="1769"/>
    </row>
    <row r="34" spans="1:20" x14ac:dyDescent="0.25">
      <c r="A34" s="2318">
        <f>+'ANALÍTICA PRESUPUESTAL'!C18</f>
        <v>10000000000</v>
      </c>
      <c r="B34" s="2319"/>
      <c r="C34" s="2275">
        <f>IF(A34="","",D25)</f>
        <v>0.02</v>
      </c>
      <c r="D34" s="1765">
        <f>IF(A34="","",A34*C34)</f>
        <v>200000000</v>
      </c>
      <c r="E34" s="997"/>
      <c r="F34" s="998"/>
      <c r="G34" s="999"/>
      <c r="H34" s="1000"/>
      <c r="I34" s="1000"/>
      <c r="J34" s="1000"/>
      <c r="K34" s="1001"/>
      <c r="L34" s="427"/>
      <c r="P34" s="428"/>
    </row>
    <row r="35" spans="1:20" x14ac:dyDescent="0.25">
      <c r="A35" s="2320"/>
      <c r="B35" s="2321"/>
      <c r="C35" s="2276"/>
      <c r="D35" s="1766"/>
      <c r="E35" s="1002"/>
      <c r="F35" s="1003"/>
      <c r="G35" s="1004"/>
      <c r="H35" s="1005"/>
      <c r="I35" s="1006"/>
      <c r="J35" s="1005"/>
      <c r="K35" s="1007"/>
      <c r="L35" s="429"/>
      <c r="P35" s="428"/>
    </row>
    <row r="36" spans="1:20" ht="15.75" customHeight="1" x14ac:dyDescent="0.25">
      <c r="A36" s="430"/>
      <c r="E36" s="971"/>
      <c r="F36" s="971"/>
      <c r="G36" s="971"/>
      <c r="H36" s="971"/>
      <c r="I36" s="971"/>
      <c r="J36" s="971"/>
      <c r="K36" s="971"/>
      <c r="L36" s="388"/>
      <c r="P36" s="431"/>
    </row>
    <row r="37" spans="1:20" ht="29.25" customHeight="1" x14ac:dyDescent="0.25">
      <c r="A37" s="2277" t="s">
        <v>1728</v>
      </c>
      <c r="B37" s="2278"/>
      <c r="C37" s="2278"/>
      <c r="D37" s="2278"/>
      <c r="E37" s="1760"/>
      <c r="F37" s="1761"/>
      <c r="G37" s="1767"/>
      <c r="H37" s="1767"/>
      <c r="I37" s="1767"/>
      <c r="J37" s="1767"/>
      <c r="K37" s="1759"/>
      <c r="L37" s="1759"/>
    </row>
    <row r="38" spans="1:20" ht="31.5" customHeight="1" x14ac:dyDescent="0.25">
      <c r="A38" s="2279" t="s">
        <v>764</v>
      </c>
      <c r="B38" s="2280"/>
      <c r="C38" s="2281" t="s">
        <v>817</v>
      </c>
      <c r="D38" s="2282" t="s">
        <v>815</v>
      </c>
      <c r="E38" s="1760"/>
      <c r="F38" s="1761"/>
      <c r="G38" s="1762"/>
      <c r="H38" s="1762"/>
      <c r="I38" s="1762"/>
      <c r="J38" s="1762"/>
      <c r="K38" s="1759"/>
      <c r="L38" s="1759"/>
    </row>
    <row r="39" spans="1:20" ht="16.5" customHeight="1" x14ac:dyDescent="0.25">
      <c r="A39" s="2322">
        <f>+'ANALÍTICA PRESUPUESTAL'!J49</f>
        <v>12000000000</v>
      </c>
      <c r="B39" s="2323"/>
      <c r="C39" s="2283">
        <f>+D25</f>
        <v>0.02</v>
      </c>
      <c r="D39" s="1763">
        <f>A39*C39</f>
        <v>240000000</v>
      </c>
      <c r="E39" s="1008"/>
      <c r="F39" s="1009"/>
      <c r="G39" s="1010"/>
      <c r="H39" s="1011"/>
      <c r="I39" s="1012"/>
      <c r="J39" s="1011"/>
      <c r="K39" s="1013"/>
      <c r="L39" s="432"/>
    </row>
    <row r="40" spans="1:20" ht="16.5" customHeight="1" x14ac:dyDescent="0.25">
      <c r="A40" s="2324"/>
      <c r="B40" s="2325"/>
      <c r="C40" s="2284"/>
      <c r="D40" s="1764"/>
      <c r="E40" s="1014"/>
      <c r="F40" s="1015"/>
      <c r="G40" s="1016"/>
      <c r="H40" s="1017"/>
      <c r="I40" s="1018"/>
      <c r="J40" s="1017"/>
      <c r="K40" s="1019"/>
      <c r="L40" s="433"/>
      <c r="M40" s="434"/>
      <c r="N40" s="435"/>
      <c r="O40" s="436"/>
      <c r="P40" s="437"/>
      <c r="Q40" s="438"/>
      <c r="R40" s="437"/>
      <c r="S40" s="439"/>
      <c r="T40" s="435"/>
    </row>
    <row r="41" spans="1:20" customFormat="1" ht="16.5" customHeight="1" x14ac:dyDescent="0.25">
      <c r="E41" s="1020"/>
      <c r="F41" s="1020"/>
      <c r="G41" s="1020"/>
      <c r="H41" s="1020"/>
      <c r="I41" s="1020"/>
      <c r="J41" s="1020"/>
      <c r="K41" s="1020"/>
    </row>
    <row r="42" spans="1:20" customFormat="1" ht="16.5" customHeight="1" x14ac:dyDescent="0.25">
      <c r="A42" s="2285" t="s">
        <v>818</v>
      </c>
      <c r="B42" s="2285"/>
      <c r="C42" s="2285"/>
      <c r="D42" s="2285"/>
      <c r="E42" s="1020"/>
      <c r="F42" s="1020"/>
      <c r="G42" s="1020"/>
      <c r="H42" s="1020"/>
      <c r="I42" s="1020"/>
      <c r="J42" s="1020"/>
      <c r="K42" s="1020"/>
    </row>
    <row r="43" spans="1:20" customFormat="1" ht="16.5" customHeight="1" x14ac:dyDescent="0.25">
      <c r="A43" s="2286" t="s">
        <v>819</v>
      </c>
      <c r="B43" s="2286"/>
      <c r="C43" s="2287" t="s">
        <v>821</v>
      </c>
      <c r="D43" s="2287" t="s">
        <v>822</v>
      </c>
      <c r="E43" s="1020"/>
      <c r="F43" s="1020"/>
      <c r="G43" s="1020"/>
      <c r="H43" s="1020"/>
      <c r="I43" s="1020"/>
      <c r="J43" s="1020"/>
      <c r="K43" s="1020"/>
    </row>
    <row r="44" spans="1:20" customFormat="1" ht="13.5" customHeight="1" x14ac:dyDescent="0.25">
      <c r="A44" s="2288" t="s">
        <v>823</v>
      </c>
      <c r="B44" s="2288"/>
      <c r="C44" s="440">
        <f>+'ANALÍTICA PRESUPUESTAL'!$M$88</f>
        <v>12000</v>
      </c>
      <c r="D44" s="440">
        <f>+C44*$C$39</f>
        <v>240</v>
      </c>
      <c r="E44" s="1020"/>
      <c r="F44" s="1020"/>
      <c r="G44" s="1020"/>
      <c r="H44" s="1020"/>
      <c r="I44" s="1020"/>
      <c r="J44" s="1020"/>
      <c r="K44" s="1020"/>
    </row>
    <row r="45" spans="1:20" customFormat="1" ht="13.5" customHeight="1" x14ac:dyDescent="0.25">
      <c r="A45" s="2288" t="s">
        <v>826</v>
      </c>
      <c r="B45" s="2288"/>
      <c r="C45" s="440">
        <f>+'ANALÍTICA PRESUPUESTAL'!$M$91</f>
        <v>12000</v>
      </c>
      <c r="D45" s="440">
        <f t="shared" ref="D44:D49" si="0">+C45*$C$39</f>
        <v>240</v>
      </c>
      <c r="E45" s="1020"/>
      <c r="F45" s="1020"/>
      <c r="G45" s="1020"/>
      <c r="H45" s="1020"/>
      <c r="I45" s="1020"/>
      <c r="J45" s="1020"/>
      <c r="K45" s="1020"/>
    </row>
    <row r="46" spans="1:20" customFormat="1" ht="13.5" customHeight="1" x14ac:dyDescent="0.25">
      <c r="A46" s="2288" t="s">
        <v>828</v>
      </c>
      <c r="B46" s="2288"/>
      <c r="C46" s="440">
        <f>+'ANALÍTICA PRESUPUESTAL'!$M$93</f>
        <v>12001</v>
      </c>
      <c r="D46" s="440">
        <f t="shared" si="0"/>
        <v>240.02</v>
      </c>
      <c r="E46" s="1020"/>
      <c r="F46" s="1020"/>
      <c r="G46" s="1020"/>
      <c r="H46" s="1020"/>
      <c r="I46" s="1020"/>
      <c r="J46" s="1020"/>
      <c r="K46" s="1020"/>
    </row>
    <row r="47" spans="1:20" customFormat="1" ht="13.5" customHeight="1" x14ac:dyDescent="0.25">
      <c r="A47" s="2288" t="s">
        <v>827</v>
      </c>
      <c r="B47" s="2288"/>
      <c r="C47" s="440">
        <f>+'ANALÍTICA PRESUPUESTAL'!$M$92</f>
        <v>12001</v>
      </c>
      <c r="D47" s="440">
        <f t="shared" si="0"/>
        <v>240.02</v>
      </c>
      <c r="E47" s="1020"/>
      <c r="F47" s="1020"/>
      <c r="G47" s="1020"/>
      <c r="H47" s="1020"/>
      <c r="I47" s="1020"/>
      <c r="J47" s="1020"/>
      <c r="K47" s="1020"/>
    </row>
    <row r="48" spans="1:20" customFormat="1" ht="13.5" customHeight="1" x14ac:dyDescent="0.25">
      <c r="A48" s="2288" t="s">
        <v>520</v>
      </c>
      <c r="B48" s="2288"/>
      <c r="C48" s="440">
        <f>+'ANALÍTICA PRESUPUESTAL'!$M$94</f>
        <v>12002</v>
      </c>
      <c r="D48" s="440">
        <f t="shared" si="0"/>
        <v>240.04</v>
      </c>
      <c r="E48" s="1020"/>
      <c r="F48" s="1020"/>
      <c r="G48" s="1020"/>
      <c r="H48" s="1020"/>
      <c r="I48" s="1020"/>
      <c r="J48" s="1020"/>
      <c r="K48" s="1020"/>
    </row>
    <row r="49" spans="1:13" customFormat="1" ht="13.5" customHeight="1" x14ac:dyDescent="0.25">
      <c r="A49" s="2288" t="s">
        <v>527</v>
      </c>
      <c r="B49" s="2288"/>
      <c r="C49" s="440">
        <f>+'ANALÍTICA PRESUPUESTAL'!$M$95</f>
        <v>12003</v>
      </c>
      <c r="D49" s="440">
        <f t="shared" si="0"/>
        <v>240.06</v>
      </c>
      <c r="E49" s="1020"/>
      <c r="F49" s="1020"/>
      <c r="G49" s="1020"/>
      <c r="H49" s="1020"/>
      <c r="I49" s="1020"/>
      <c r="J49" s="1020"/>
      <c r="K49" s="1020"/>
    </row>
    <row r="50" spans="1:13" customFormat="1" ht="16.5" customHeight="1" x14ac:dyDescent="0.25">
      <c r="E50" s="1020"/>
      <c r="F50" s="1020"/>
      <c r="G50" s="1020"/>
      <c r="H50" s="1020"/>
      <c r="I50" s="1020"/>
      <c r="J50" s="1020"/>
      <c r="K50" s="1020"/>
    </row>
    <row r="51" spans="1:13" customFormat="1" ht="16.5" customHeight="1" x14ac:dyDescent="0.25">
      <c r="E51" s="1020"/>
      <c r="F51" s="1020"/>
      <c r="G51" s="1020"/>
      <c r="H51" s="1020"/>
      <c r="I51" s="1020"/>
      <c r="J51" s="1020"/>
      <c r="K51" s="1020"/>
    </row>
    <row r="52" spans="1:13" s="424" customFormat="1" ht="17.25" customHeight="1" x14ac:dyDescent="0.25">
      <c r="A52" s="2289" t="s">
        <v>1780</v>
      </c>
      <c r="B52" s="2289"/>
      <c r="C52" s="2289"/>
      <c r="D52" s="2289"/>
      <c r="E52" s="2289"/>
      <c r="F52" s="2289"/>
      <c r="G52" s="1021"/>
      <c r="H52" s="995"/>
      <c r="I52" s="995"/>
      <c r="J52" s="995"/>
      <c r="K52" s="995"/>
      <c r="L52" s="425"/>
      <c r="M52" s="425"/>
    </row>
    <row r="53" spans="1:13" s="424" customFormat="1" x14ac:dyDescent="0.25">
      <c r="A53" s="2290" t="s">
        <v>829</v>
      </c>
      <c r="B53" s="2291"/>
      <c r="C53" s="2291"/>
      <c r="D53" s="2291"/>
      <c r="E53" s="2291"/>
      <c r="F53" s="2292"/>
      <c r="G53" s="1021"/>
      <c r="H53" s="995"/>
      <c r="I53" s="995"/>
      <c r="J53" s="995"/>
      <c r="K53" s="995"/>
      <c r="L53" s="425"/>
      <c r="M53" s="425"/>
    </row>
    <row r="54" spans="1:13" s="424" customFormat="1" ht="15.75" customHeight="1" x14ac:dyDescent="0.25">
      <c r="A54" s="2293"/>
      <c r="B54" s="2294"/>
      <c r="C54" s="2294"/>
      <c r="D54" s="2294"/>
      <c r="E54" s="2294"/>
      <c r="F54" s="2295"/>
      <c r="G54" s="1021"/>
      <c r="H54" s="995"/>
      <c r="I54" s="995"/>
      <c r="J54" s="995"/>
      <c r="K54" s="995"/>
      <c r="L54" s="425"/>
      <c r="M54" s="425"/>
    </row>
    <row r="55" spans="1:13" s="424" customFormat="1" ht="15.75" customHeight="1" x14ac:dyDescent="0.25">
      <c r="A55" s="2293"/>
      <c r="B55" s="2294"/>
      <c r="C55" s="2294"/>
      <c r="D55" s="2294"/>
      <c r="E55" s="2294"/>
      <c r="F55" s="2295"/>
      <c r="G55" s="1021"/>
      <c r="H55" s="995"/>
      <c r="I55" s="995"/>
      <c r="J55" s="995"/>
      <c r="K55" s="995"/>
      <c r="L55" s="425"/>
      <c r="M55" s="425"/>
    </row>
    <row r="56" spans="1:13" ht="15.75" customHeight="1" x14ac:dyDescent="0.25">
      <c r="A56" s="2296"/>
      <c r="B56" s="2297"/>
      <c r="C56" s="2297"/>
      <c r="D56" s="2297"/>
      <c r="E56" s="2297"/>
      <c r="F56" s="2298"/>
      <c r="G56" s="971"/>
      <c r="H56" s="971"/>
      <c r="I56" s="971"/>
      <c r="J56" s="971"/>
      <c r="K56" s="971"/>
      <c r="L56" s="388"/>
      <c r="M56" s="388"/>
    </row>
    <row r="57" spans="1:13" ht="15.75" customHeight="1" x14ac:dyDescent="0.25">
      <c r="A57" s="2299"/>
      <c r="B57" s="2299"/>
      <c r="C57" s="2299"/>
      <c r="D57" s="2299"/>
      <c r="E57" s="2300"/>
      <c r="F57" s="2300"/>
      <c r="G57" s="971"/>
      <c r="H57" s="971"/>
      <c r="I57" s="971"/>
      <c r="J57" s="971"/>
      <c r="K57" s="971"/>
      <c r="L57" s="388"/>
      <c r="M57" s="388"/>
    </row>
    <row r="58" spans="1:13" s="424" customFormat="1" hidden="1" x14ac:dyDescent="0.25">
      <c r="A58" s="1756" t="s">
        <v>830</v>
      </c>
      <c r="B58" s="1757"/>
      <c r="C58" s="1757"/>
      <c r="D58" s="1757"/>
      <c r="E58" s="1757"/>
      <c r="F58" s="1758"/>
      <c r="G58" s="993"/>
      <c r="H58" s="993"/>
      <c r="I58" s="993"/>
      <c r="J58" s="993"/>
      <c r="K58" s="993"/>
    </row>
    <row r="59" spans="1:13" s="424" customFormat="1" ht="60.75" hidden="1" customHeight="1" x14ac:dyDescent="0.25">
      <c r="A59" s="1737" t="s">
        <v>831</v>
      </c>
      <c r="B59" s="1737"/>
      <c r="C59" s="1737"/>
      <c r="D59" s="1737"/>
      <c r="E59" s="1737"/>
      <c r="F59" s="1737"/>
      <c r="G59" s="993"/>
      <c r="H59" s="993"/>
      <c r="I59" s="993"/>
      <c r="J59" s="993"/>
      <c r="K59" s="993"/>
    </row>
    <row r="60" spans="1:13" s="424" customFormat="1" ht="48" hidden="1" customHeight="1" x14ac:dyDescent="0.25">
      <c r="A60" s="2301" t="s">
        <v>832</v>
      </c>
      <c r="B60" s="2302" t="s">
        <v>833</v>
      </c>
      <c r="C60" s="2303" t="s">
        <v>834</v>
      </c>
      <c r="D60" s="2304" t="s">
        <v>835</v>
      </c>
      <c r="E60" s="2305" t="s">
        <v>836</v>
      </c>
      <c r="F60" s="2305" t="s">
        <v>837</v>
      </c>
      <c r="G60" s="1022"/>
      <c r="H60" s="1022"/>
      <c r="I60" s="993"/>
      <c r="J60" s="993"/>
      <c r="K60" s="993"/>
    </row>
    <row r="61" spans="1:13" s="424" customFormat="1" ht="22.5" hidden="1" customHeight="1" x14ac:dyDescent="0.25">
      <c r="A61" s="2306" t="s">
        <v>703</v>
      </c>
      <c r="B61" s="2307">
        <v>0.04</v>
      </c>
      <c r="C61" s="2308" t="s">
        <v>838</v>
      </c>
      <c r="D61" s="2309" t="s">
        <v>839</v>
      </c>
      <c r="E61" s="2310">
        <f>+D34</f>
        <v>200000000</v>
      </c>
      <c r="F61" s="2311">
        <f>+E61*B61</f>
        <v>8000000</v>
      </c>
      <c r="G61" s="993"/>
      <c r="H61" s="993"/>
      <c r="I61" s="993"/>
      <c r="J61" s="993"/>
      <c r="K61" s="993"/>
    </row>
    <row r="62" spans="1:13" s="424" customFormat="1" ht="29.25" hidden="1" customHeight="1" x14ac:dyDescent="0.25">
      <c r="A62" s="2306"/>
      <c r="B62" s="2307"/>
      <c r="C62" s="2309"/>
      <c r="D62" s="2309"/>
      <c r="E62" s="2312"/>
      <c r="F62" s="2311">
        <f>+E62*B62</f>
        <v>0</v>
      </c>
      <c r="G62" s="993"/>
      <c r="H62" s="993"/>
      <c r="I62" s="993"/>
      <c r="J62" s="993"/>
      <c r="K62" s="993"/>
    </row>
    <row r="63" spans="1:13" s="424" customFormat="1" hidden="1" x14ac:dyDescent="0.25">
      <c r="A63" s="2306"/>
      <c r="B63" s="2307"/>
      <c r="C63" s="2309"/>
      <c r="D63" s="2309"/>
      <c r="E63" s="2312"/>
      <c r="F63" s="2311">
        <f>+E63*B63</f>
        <v>0</v>
      </c>
      <c r="G63" s="993"/>
      <c r="H63" s="993"/>
      <c r="I63" s="993"/>
      <c r="J63" s="993"/>
      <c r="K63" s="993"/>
    </row>
    <row r="64" spans="1:13" s="424" customFormat="1" ht="18" hidden="1" customHeight="1" x14ac:dyDescent="0.25">
      <c r="A64" s="2306"/>
      <c r="B64" s="2307"/>
      <c r="C64" s="2309"/>
      <c r="D64" s="2309"/>
      <c r="E64" s="2312"/>
      <c r="F64" s="2311">
        <f>+E64*B64</f>
        <v>0</v>
      </c>
      <c r="G64" s="993"/>
      <c r="H64" s="993"/>
      <c r="I64" s="993"/>
      <c r="J64" s="993"/>
      <c r="K64" s="993"/>
    </row>
    <row r="65" spans="1:11" s="424" customFormat="1" ht="15.75" hidden="1" customHeight="1" x14ac:dyDescent="0.25">
      <c r="A65" s="2306"/>
      <c r="B65" s="2307"/>
      <c r="C65" s="2309"/>
      <c r="D65" s="2309"/>
      <c r="E65" s="2312"/>
      <c r="F65" s="2311">
        <f>+E65*B65</f>
        <v>0</v>
      </c>
      <c r="G65" s="993"/>
      <c r="H65" s="993"/>
      <c r="I65" s="993"/>
      <c r="J65" s="993"/>
      <c r="K65" s="993"/>
    </row>
    <row r="66" spans="1:11" s="424" customFormat="1" hidden="1" x14ac:dyDescent="0.25">
      <c r="E66" s="993"/>
      <c r="F66" s="993"/>
      <c r="G66" s="993"/>
      <c r="H66" s="993"/>
      <c r="I66" s="993"/>
      <c r="J66" s="993"/>
      <c r="K66" s="993"/>
    </row>
    <row r="67" spans="1:11" s="424" customFormat="1" x14ac:dyDescent="0.25">
      <c r="A67" s="1736" t="s">
        <v>840</v>
      </c>
      <c r="B67" s="1736"/>
      <c r="C67" s="1736"/>
      <c r="D67" s="1736"/>
      <c r="E67" s="1736"/>
      <c r="F67" s="1736"/>
      <c r="G67" s="993"/>
      <c r="H67" s="993"/>
      <c r="I67" s="993"/>
      <c r="J67" s="993"/>
      <c r="K67" s="993"/>
    </row>
    <row r="68" spans="1:11" s="424" customFormat="1" ht="52.5" customHeight="1" x14ac:dyDescent="0.25">
      <c r="A68" s="1753" t="s">
        <v>841</v>
      </c>
      <c r="B68" s="1754"/>
      <c r="C68" s="1754"/>
      <c r="D68" s="1754"/>
      <c r="E68" s="1754"/>
      <c r="F68" s="1755"/>
      <c r="G68" s="993"/>
      <c r="H68" s="993"/>
      <c r="I68" s="993"/>
      <c r="J68" s="993"/>
      <c r="K68" s="993"/>
    </row>
    <row r="69" spans="1:11" s="424" customFormat="1" x14ac:dyDescent="0.25">
      <c r="A69" s="1738" t="s">
        <v>842</v>
      </c>
      <c r="B69" s="2313"/>
      <c r="C69" s="2313"/>
      <c r="D69" s="2313"/>
      <c r="E69" s="2313"/>
      <c r="F69" s="1739"/>
      <c r="G69" s="993"/>
      <c r="H69" s="993"/>
      <c r="I69" s="993"/>
      <c r="J69" s="993"/>
      <c r="K69" s="993"/>
    </row>
    <row r="70" spans="1:11" s="424" customFormat="1" x14ac:dyDescent="0.25">
      <c r="A70" s="1738" t="s">
        <v>833</v>
      </c>
      <c r="B70" s="1739"/>
      <c r="C70" s="1738" t="s">
        <v>843</v>
      </c>
      <c r="D70" s="1739"/>
      <c r="E70" s="449" t="s">
        <v>844</v>
      </c>
      <c r="F70" s="449" t="s">
        <v>845</v>
      </c>
      <c r="G70" s="993"/>
      <c r="H70" s="993"/>
      <c r="I70" s="993"/>
      <c r="J70" s="993"/>
      <c r="K70" s="993"/>
    </row>
    <row r="71" spans="1:11" s="424" customFormat="1" x14ac:dyDescent="0.25">
      <c r="A71" s="1742">
        <v>0.8</v>
      </c>
      <c r="B71" s="1743"/>
      <c r="C71" s="1746" t="s">
        <v>813</v>
      </c>
      <c r="D71" s="1747"/>
      <c r="E71" s="444">
        <f>+D34</f>
        <v>200000000</v>
      </c>
      <c r="F71" s="445">
        <f>IF(E71="","",E71*A71)</f>
        <v>160000000</v>
      </c>
      <c r="G71" s="993"/>
      <c r="H71" s="993"/>
      <c r="I71" s="993"/>
      <c r="J71" s="993"/>
      <c r="K71" s="993"/>
    </row>
    <row r="72" spans="1:11" s="424" customFormat="1" x14ac:dyDescent="0.25">
      <c r="A72" s="1742">
        <v>0.67</v>
      </c>
      <c r="B72" s="1743"/>
      <c r="C72" s="1746" t="s">
        <v>816</v>
      </c>
      <c r="D72" s="1747"/>
      <c r="E72" s="444">
        <f>+D39</f>
        <v>240000000</v>
      </c>
      <c r="F72" s="445">
        <f>IF(E72="","",E72*A72)</f>
        <v>160800000</v>
      </c>
      <c r="G72" s="993"/>
      <c r="H72" s="993"/>
      <c r="I72" s="993"/>
      <c r="J72" s="993"/>
      <c r="K72" s="993"/>
    </row>
    <row r="73" spans="1:11" s="424" customFormat="1" x14ac:dyDescent="0.25">
      <c r="A73" s="1748" t="s">
        <v>846</v>
      </c>
      <c r="B73" s="1749"/>
      <c r="C73" s="1749"/>
      <c r="D73" s="1749"/>
      <c r="E73" s="1749"/>
      <c r="F73" s="1750"/>
      <c r="G73" s="993"/>
      <c r="H73" s="993"/>
      <c r="I73" s="993"/>
      <c r="J73" s="993"/>
      <c r="K73" s="993"/>
    </row>
    <row r="74" spans="1:11" s="424" customFormat="1" x14ac:dyDescent="0.25">
      <c r="A74" s="1751" t="s">
        <v>833</v>
      </c>
      <c r="B74" s="1752"/>
      <c r="C74" s="1751" t="s">
        <v>843</v>
      </c>
      <c r="D74" s="1752"/>
      <c r="E74" s="443" t="s">
        <v>847</v>
      </c>
      <c r="F74" s="443" t="s">
        <v>845</v>
      </c>
      <c r="G74" s="993"/>
      <c r="H74" s="993"/>
      <c r="I74" s="993"/>
      <c r="J74" s="993"/>
      <c r="K74" s="993"/>
    </row>
    <row r="75" spans="1:11" s="424" customFormat="1" x14ac:dyDescent="0.25">
      <c r="A75" s="1742">
        <v>0.64</v>
      </c>
      <c r="B75" s="1743"/>
      <c r="C75" s="1744" t="s">
        <v>848</v>
      </c>
      <c r="D75" s="1745"/>
      <c r="E75" s="446">
        <v>10500000000</v>
      </c>
      <c r="F75" s="445">
        <f>IF(E75="","",A75*E75)</f>
        <v>6720000000</v>
      </c>
      <c r="G75" s="993"/>
      <c r="H75" s="993"/>
      <c r="I75" s="993"/>
      <c r="J75" s="993"/>
      <c r="K75" s="993"/>
    </row>
    <row r="76" spans="1:11" s="424" customFormat="1" x14ac:dyDescent="0.25">
      <c r="A76" s="1742"/>
      <c r="B76" s="1743"/>
      <c r="C76" s="1744"/>
      <c r="D76" s="1745"/>
      <c r="E76" s="446"/>
      <c r="F76" s="445" t="str">
        <f t="shared" ref="F76:F81" si="1">IF(E76="","",A76*E76)</f>
        <v/>
      </c>
      <c r="G76" s="993"/>
      <c r="H76" s="993"/>
      <c r="I76" s="993"/>
      <c r="J76" s="993"/>
      <c r="K76" s="993"/>
    </row>
    <row r="77" spans="1:11" s="424" customFormat="1" x14ac:dyDescent="0.25">
      <c r="A77" s="1742"/>
      <c r="B77" s="1743"/>
      <c r="C77" s="1744"/>
      <c r="D77" s="1745"/>
      <c r="E77" s="1023"/>
      <c r="F77" s="445" t="str">
        <f t="shared" si="1"/>
        <v/>
      </c>
      <c r="G77" s="993"/>
      <c r="H77" s="993"/>
      <c r="I77" s="993"/>
      <c r="J77" s="993"/>
      <c r="K77" s="993"/>
    </row>
    <row r="78" spans="1:11" s="424" customFormat="1" x14ac:dyDescent="0.25">
      <c r="A78" s="1742"/>
      <c r="B78" s="1743"/>
      <c r="C78" s="1744"/>
      <c r="D78" s="1745"/>
      <c r="E78" s="1023"/>
      <c r="F78" s="445" t="str">
        <f t="shared" si="1"/>
        <v/>
      </c>
      <c r="G78" s="993"/>
      <c r="H78" s="993"/>
      <c r="I78" s="993"/>
      <c r="J78" s="993"/>
      <c r="K78" s="993"/>
    </row>
    <row r="79" spans="1:11" s="424" customFormat="1" x14ac:dyDescent="0.25">
      <c r="A79" s="1742"/>
      <c r="B79" s="1743"/>
      <c r="C79" s="1744"/>
      <c r="D79" s="1745"/>
      <c r="E79" s="1023"/>
      <c r="F79" s="445" t="str">
        <f t="shared" si="1"/>
        <v/>
      </c>
      <c r="G79" s="993"/>
      <c r="H79" s="993"/>
      <c r="I79" s="993"/>
      <c r="J79" s="993"/>
      <c r="K79" s="993"/>
    </row>
    <row r="80" spans="1:11" s="424" customFormat="1" x14ac:dyDescent="0.25">
      <c r="A80" s="1742"/>
      <c r="B80" s="1743"/>
      <c r="C80" s="1744"/>
      <c r="D80" s="1745"/>
      <c r="E80" s="1023"/>
      <c r="F80" s="445" t="str">
        <f t="shared" si="1"/>
        <v/>
      </c>
      <c r="G80" s="993"/>
      <c r="H80" s="993"/>
      <c r="I80" s="993"/>
      <c r="J80" s="993"/>
      <c r="K80" s="993"/>
    </row>
    <row r="81" spans="1:14" s="424" customFormat="1" x14ac:dyDescent="0.25">
      <c r="A81" s="1734"/>
      <c r="B81" s="1734"/>
      <c r="C81" s="1735"/>
      <c r="D81" s="1735"/>
      <c r="E81" s="1023"/>
      <c r="F81" s="445" t="str">
        <f t="shared" si="1"/>
        <v/>
      </c>
      <c r="G81" s="993"/>
      <c r="H81" s="993"/>
      <c r="I81" s="993"/>
      <c r="J81" s="993"/>
      <c r="K81" s="993"/>
    </row>
    <row r="82" spans="1:14" s="424" customFormat="1" x14ac:dyDescent="0.25">
      <c r="A82" s="447"/>
      <c r="B82" s="447"/>
      <c r="C82" s="395"/>
      <c r="D82" s="395"/>
      <c r="E82" s="1024"/>
      <c r="F82" s="1025"/>
      <c r="G82" s="993"/>
      <c r="H82" s="993"/>
      <c r="I82" s="993"/>
      <c r="J82" s="993"/>
      <c r="K82" s="993"/>
    </row>
    <row r="83" spans="1:14" s="424" customFormat="1" hidden="1" x14ac:dyDescent="0.25">
      <c r="A83" s="1736" t="s">
        <v>849</v>
      </c>
      <c r="B83" s="1736"/>
      <c r="C83" s="1736"/>
      <c r="D83" s="1736"/>
      <c r="E83" s="1736"/>
      <c r="F83" s="1736"/>
      <c r="G83" s="448"/>
      <c r="H83" s="993"/>
      <c r="I83" s="993"/>
      <c r="J83" s="993"/>
      <c r="K83" s="448"/>
      <c r="L83" s="448"/>
    </row>
    <row r="84" spans="1:14" s="424" customFormat="1" ht="60" hidden="1" customHeight="1" x14ac:dyDescent="0.25">
      <c r="A84" s="1737" t="s">
        <v>850</v>
      </c>
      <c r="B84" s="1737"/>
      <c r="C84" s="1737"/>
      <c r="D84" s="1737"/>
      <c r="E84" s="1737"/>
      <c r="F84" s="1737"/>
      <c r="G84" s="448"/>
      <c r="H84" s="993"/>
      <c r="I84" s="993"/>
      <c r="J84" s="993"/>
      <c r="K84" s="448"/>
      <c r="L84" s="448"/>
    </row>
    <row r="85" spans="1:14" s="424" customFormat="1" ht="30" hidden="1" x14ac:dyDescent="0.25">
      <c r="A85" s="449" t="s">
        <v>833</v>
      </c>
      <c r="B85" s="1738" t="s">
        <v>851</v>
      </c>
      <c r="C85" s="1739"/>
      <c r="D85" s="450" t="s">
        <v>852</v>
      </c>
      <c r="E85" s="1740" t="s">
        <v>853</v>
      </c>
      <c r="F85" s="1741"/>
      <c r="G85" s="448"/>
      <c r="H85" s="993"/>
      <c r="I85" s="993"/>
      <c r="J85" s="993"/>
      <c r="K85" s="448"/>
      <c r="L85" s="448"/>
    </row>
    <row r="86" spans="1:14" s="424" customFormat="1" hidden="1" x14ac:dyDescent="0.25">
      <c r="A86" s="442">
        <v>0.04</v>
      </c>
      <c r="B86" s="1730"/>
      <c r="C86" s="1731"/>
      <c r="D86" s="451">
        <f>+B86*A86</f>
        <v>0</v>
      </c>
      <c r="E86" s="1732" t="s">
        <v>854</v>
      </c>
      <c r="F86" s="1733"/>
      <c r="G86" s="448"/>
      <c r="H86" s="993"/>
      <c r="I86" s="993"/>
      <c r="J86" s="993"/>
      <c r="K86" s="448"/>
      <c r="L86" s="448"/>
    </row>
    <row r="87" spans="1:14" s="424" customFormat="1" ht="15" hidden="1" customHeight="1" x14ac:dyDescent="0.25">
      <c r="A87" s="452"/>
      <c r="B87" s="1730"/>
      <c r="C87" s="1731"/>
      <c r="D87" s="451">
        <f>+B87*A87</f>
        <v>0</v>
      </c>
      <c r="E87" s="1732"/>
      <c r="F87" s="1733"/>
      <c r="G87" s="993"/>
      <c r="H87" s="993"/>
      <c r="I87" s="993"/>
      <c r="J87" s="993"/>
      <c r="K87" s="993"/>
    </row>
    <row r="88" spans="1:14" s="424" customFormat="1" hidden="1" x14ac:dyDescent="0.25">
      <c r="A88" s="452"/>
      <c r="B88" s="1730"/>
      <c r="C88" s="1731"/>
      <c r="D88" s="451">
        <f t="shared" ref="D88:D93" si="2">+B88*A88</f>
        <v>0</v>
      </c>
      <c r="E88" s="1732"/>
      <c r="F88" s="1733"/>
      <c r="G88" s="993"/>
      <c r="H88" s="993"/>
      <c r="I88" s="993"/>
      <c r="J88" s="993"/>
      <c r="K88" s="993"/>
    </row>
    <row r="89" spans="1:14" s="424" customFormat="1" hidden="1" x14ac:dyDescent="0.25">
      <c r="A89" s="452"/>
      <c r="B89" s="1730"/>
      <c r="C89" s="1731"/>
      <c r="D89" s="451">
        <f t="shared" si="2"/>
        <v>0</v>
      </c>
      <c r="E89" s="1732"/>
      <c r="F89" s="1733"/>
      <c r="G89" s="993"/>
      <c r="H89" s="993"/>
      <c r="I89" s="993"/>
      <c r="J89" s="993"/>
      <c r="K89" s="993"/>
      <c r="N89" s="453"/>
    </row>
    <row r="90" spans="1:14" s="424" customFormat="1" hidden="1" x14ac:dyDescent="0.25">
      <c r="A90" s="452"/>
      <c r="B90" s="1730"/>
      <c r="C90" s="1731"/>
      <c r="D90" s="451">
        <f t="shared" si="2"/>
        <v>0</v>
      </c>
      <c r="E90" s="1732"/>
      <c r="F90" s="1733"/>
      <c r="G90" s="993"/>
      <c r="H90" s="993"/>
      <c r="I90" s="993"/>
      <c r="J90" s="993"/>
      <c r="K90" s="993"/>
    </row>
    <row r="91" spans="1:14" s="424" customFormat="1" hidden="1" x14ac:dyDescent="0.25">
      <c r="A91" s="452"/>
      <c r="B91" s="1730"/>
      <c r="C91" s="1731"/>
      <c r="D91" s="451">
        <f t="shared" si="2"/>
        <v>0</v>
      </c>
      <c r="E91" s="1732"/>
      <c r="F91" s="1733"/>
      <c r="G91" s="993"/>
      <c r="H91" s="993"/>
      <c r="I91" s="993"/>
      <c r="J91" s="993"/>
      <c r="K91" s="993"/>
    </row>
    <row r="92" spans="1:14" s="424" customFormat="1" hidden="1" x14ac:dyDescent="0.25">
      <c r="A92" s="452"/>
      <c r="B92" s="1730"/>
      <c r="C92" s="1731"/>
      <c r="D92" s="451">
        <f t="shared" si="2"/>
        <v>0</v>
      </c>
      <c r="E92" s="1732"/>
      <c r="F92" s="1733"/>
      <c r="G92" s="993"/>
      <c r="H92" s="993"/>
      <c r="I92" s="993"/>
      <c r="J92" s="993"/>
      <c r="K92" s="993"/>
    </row>
    <row r="93" spans="1:14" s="424" customFormat="1" hidden="1" x14ac:dyDescent="0.25">
      <c r="A93" s="452"/>
      <c r="B93" s="1730"/>
      <c r="C93" s="1731"/>
      <c r="D93" s="451">
        <f t="shared" si="2"/>
        <v>0</v>
      </c>
      <c r="E93" s="1732"/>
      <c r="F93" s="1733"/>
      <c r="G93" s="993"/>
      <c r="H93" s="993"/>
      <c r="I93" s="993"/>
      <c r="J93" s="993"/>
      <c r="K93" s="993"/>
    </row>
    <row r="94" spans="1:14" s="424" customFormat="1" ht="21.75" hidden="1" customHeight="1" x14ac:dyDescent="0.25">
      <c r="A94" s="454" t="s">
        <v>855</v>
      </c>
      <c r="B94" s="454"/>
      <c r="E94" s="993"/>
      <c r="F94" s="993"/>
      <c r="G94" s="993"/>
      <c r="H94" s="993"/>
      <c r="I94" s="993"/>
      <c r="J94" s="993"/>
      <c r="K94" s="993"/>
    </row>
    <row r="95" spans="1:14" s="390" customFormat="1" x14ac:dyDescent="0.25">
      <c r="A95" s="2326" t="s">
        <v>464</v>
      </c>
      <c r="B95" s="2327" t="s">
        <v>856</v>
      </c>
      <c r="C95" s="2328"/>
      <c r="D95" s="2329" t="s">
        <v>857</v>
      </c>
      <c r="E95" s="724"/>
      <c r="F95" s="724"/>
      <c r="G95" s="1026"/>
      <c r="H95" s="1027"/>
      <c r="I95" s="1027"/>
      <c r="J95" s="1027"/>
      <c r="K95" s="1027"/>
    </row>
    <row r="96" spans="1:14" s="390" customFormat="1" x14ac:dyDescent="0.25">
      <c r="A96" s="1281"/>
      <c r="B96" s="2330"/>
      <c r="C96" s="2331"/>
      <c r="D96" s="441"/>
      <c r="E96" s="1028"/>
      <c r="F96" s="1028"/>
      <c r="G96" s="1029"/>
      <c r="H96" s="1027"/>
      <c r="I96" s="1027"/>
      <c r="J96" s="1027"/>
      <c r="K96" s="1027"/>
    </row>
    <row r="97" spans="1:11" s="390" customFormat="1" x14ac:dyDescent="0.25">
      <c r="A97" s="1281"/>
      <c r="B97" s="2330"/>
      <c r="C97" s="2331"/>
      <c r="D97" s="441"/>
      <c r="E97" s="1028"/>
      <c r="F97" s="1028"/>
      <c r="G97" s="1029"/>
      <c r="H97" s="1030"/>
      <c r="I97" s="1027"/>
      <c r="J97" s="1027"/>
      <c r="K97" s="1027"/>
    </row>
    <row r="98" spans="1:11" s="390" customFormat="1" x14ac:dyDescent="0.25">
      <c r="A98" s="1281"/>
      <c r="B98" s="2330"/>
      <c r="C98" s="2331"/>
      <c r="D98" s="441"/>
      <c r="E98" s="1028"/>
      <c r="F98" s="1028"/>
      <c r="G98" s="1029"/>
      <c r="H98" s="1030"/>
      <c r="I98" s="1027"/>
      <c r="J98" s="1027"/>
      <c r="K98" s="1027"/>
    </row>
    <row r="99" spans="1:11" s="390" customFormat="1" x14ac:dyDescent="0.25">
      <c r="A99" s="1281"/>
      <c r="B99" s="2330"/>
      <c r="C99" s="2331"/>
      <c r="D99" s="441" t="s">
        <v>144</v>
      </c>
      <c r="E99" s="1028"/>
      <c r="F99" s="1028"/>
      <c r="G99" s="1029"/>
      <c r="H99" s="1027"/>
      <c r="I99" s="1027"/>
      <c r="J99" s="1027"/>
      <c r="K99" s="1027"/>
    </row>
    <row r="100" spans="1:11" s="390" customFormat="1" x14ac:dyDescent="0.25">
      <c r="A100" s="1281"/>
      <c r="B100" s="2330"/>
      <c r="C100" s="2331"/>
      <c r="D100" s="441"/>
      <c r="E100" s="1028"/>
      <c r="F100" s="1028"/>
      <c r="G100" s="1029"/>
      <c r="H100" s="1027"/>
      <c r="I100" s="1027"/>
      <c r="J100" s="1027"/>
      <c r="K100" s="1027"/>
    </row>
    <row r="101" spans="1:11" s="390" customFormat="1" x14ac:dyDescent="0.25">
      <c r="A101" s="1281"/>
      <c r="B101" s="2330"/>
      <c r="C101" s="2331"/>
      <c r="D101" s="441"/>
      <c r="E101" s="1028"/>
      <c r="F101" s="1028"/>
      <c r="G101" s="1029"/>
      <c r="H101" s="1027"/>
      <c r="I101" s="1027"/>
      <c r="J101" s="1027"/>
      <c r="K101" s="1027"/>
    </row>
    <row r="102" spans="1:11" s="390" customFormat="1" x14ac:dyDescent="0.25">
      <c r="A102" s="1281"/>
      <c r="B102" s="2330"/>
      <c r="C102" s="2331"/>
      <c r="D102" s="441"/>
      <c r="E102" s="1028"/>
      <c r="F102" s="1028"/>
      <c r="G102" s="1029"/>
      <c r="H102" s="1027"/>
      <c r="I102" s="1027"/>
      <c r="J102" s="1027"/>
      <c r="K102" s="1027"/>
    </row>
    <row r="103" spans="1:11" s="390" customFormat="1" x14ac:dyDescent="0.25">
      <c r="A103" s="1281"/>
      <c r="B103" s="2330"/>
      <c r="C103" s="2331"/>
      <c r="D103" s="441"/>
      <c r="E103" s="1028"/>
      <c r="F103" s="1028"/>
      <c r="G103" s="1029"/>
      <c r="H103" s="1027"/>
      <c r="I103" s="1027"/>
      <c r="J103" s="1027"/>
      <c r="K103" s="1027"/>
    </row>
    <row r="104" spans="1:11" s="390" customFormat="1" x14ac:dyDescent="0.25">
      <c r="A104" s="1281"/>
      <c r="B104" s="2330"/>
      <c r="C104" s="2331"/>
      <c r="D104" s="441"/>
      <c r="E104" s="1028"/>
      <c r="F104" s="1028"/>
      <c r="G104" s="1029"/>
      <c r="H104" s="1027"/>
      <c r="I104" s="1027"/>
      <c r="J104" s="1027"/>
      <c r="K104" s="1027"/>
    </row>
    <row r="105" spans="1:11" s="390" customFormat="1" x14ac:dyDescent="0.25">
      <c r="A105" s="1281"/>
      <c r="B105" s="2330"/>
      <c r="C105" s="2331"/>
      <c r="D105" s="441"/>
      <c r="E105" s="1028"/>
      <c r="F105" s="1028"/>
      <c r="G105" s="1029"/>
      <c r="H105" s="1027"/>
      <c r="I105" s="1027"/>
      <c r="J105" s="1027"/>
      <c r="K105" s="1027"/>
    </row>
    <row r="106" spans="1:11" s="390" customFormat="1" x14ac:dyDescent="0.25">
      <c r="A106" s="1281"/>
      <c r="B106" s="2330"/>
      <c r="C106" s="2331"/>
      <c r="D106" s="441"/>
      <c r="E106" s="1028"/>
      <c r="F106" s="1028"/>
      <c r="G106" s="1029"/>
      <c r="H106" s="1027"/>
      <c r="I106" s="1027"/>
      <c r="J106" s="1027"/>
      <c r="K106" s="1027"/>
    </row>
    <row r="107" spans="1:11" s="390" customFormat="1" x14ac:dyDescent="0.25">
      <c r="A107" s="1281"/>
      <c r="B107" s="2330"/>
      <c r="C107" s="2331"/>
      <c r="D107" s="441"/>
      <c r="E107" s="1028"/>
      <c r="F107" s="1028"/>
      <c r="G107" s="1029"/>
      <c r="H107" s="1027"/>
      <c r="I107" s="1027"/>
      <c r="J107" s="1027"/>
      <c r="K107" s="1027"/>
    </row>
    <row r="108" spans="1:11" s="390" customFormat="1" x14ac:dyDescent="0.25">
      <c r="A108" s="1281"/>
      <c r="B108" s="2330"/>
      <c r="C108" s="2331"/>
      <c r="D108" s="441"/>
      <c r="E108" s="1028"/>
      <c r="F108" s="1028"/>
      <c r="G108" s="1029"/>
      <c r="H108" s="1027"/>
      <c r="I108" s="1027"/>
      <c r="J108" s="1027"/>
      <c r="K108" s="1027"/>
    </row>
    <row r="109" spans="1:11" s="390" customFormat="1" x14ac:dyDescent="0.25">
      <c r="A109" s="1281"/>
      <c r="B109" s="2330"/>
      <c r="C109" s="2331"/>
      <c r="D109" s="441"/>
      <c r="E109" s="1028"/>
      <c r="F109" s="1028"/>
      <c r="G109" s="1029"/>
      <c r="H109" s="1027"/>
      <c r="I109" s="1027"/>
      <c r="J109" s="1027"/>
      <c r="K109" s="1027"/>
    </row>
    <row r="110" spans="1:11" s="390" customFormat="1" x14ac:dyDescent="0.25">
      <c r="A110" s="1281"/>
      <c r="B110" s="2330"/>
      <c r="C110" s="2331"/>
      <c r="D110" s="441"/>
      <c r="E110" s="1028"/>
      <c r="F110" s="1028"/>
      <c r="G110" s="1029"/>
      <c r="H110" s="1027"/>
      <c r="I110" s="1027"/>
      <c r="J110" s="1027"/>
      <c r="K110" s="1027"/>
    </row>
    <row r="111" spans="1:11" s="424" customFormat="1" x14ac:dyDescent="0.25">
      <c r="A111" s="1281"/>
      <c r="B111" s="2330"/>
      <c r="C111" s="2331"/>
      <c r="D111" s="441"/>
      <c r="E111" s="1028"/>
      <c r="F111" s="1028"/>
      <c r="G111" s="993"/>
      <c r="H111" s="993"/>
      <c r="I111" s="993"/>
      <c r="J111" s="993"/>
      <c r="K111" s="993"/>
    </row>
    <row r="112" spans="1:11" s="424" customFormat="1" x14ac:dyDescent="0.25">
      <c r="A112" s="1281"/>
      <c r="B112" s="2330"/>
      <c r="C112" s="2331"/>
      <c r="D112" s="441"/>
      <c r="E112" s="1028"/>
      <c r="F112" s="1028"/>
      <c r="G112" s="993"/>
      <c r="H112" s="993"/>
      <c r="I112" s="993"/>
      <c r="J112" s="993"/>
      <c r="K112" s="993"/>
    </row>
    <row r="113" spans="1:11" s="424" customFormat="1" x14ac:dyDescent="0.25">
      <c r="A113" s="1281"/>
      <c r="B113" s="2330"/>
      <c r="C113" s="2331"/>
      <c r="D113" s="441"/>
      <c r="E113" s="1028"/>
      <c r="F113" s="1028"/>
      <c r="G113" s="993"/>
      <c r="H113" s="993"/>
      <c r="I113" s="993"/>
      <c r="J113" s="993"/>
      <c r="K113" s="993"/>
    </row>
    <row r="114" spans="1:11" s="424" customFormat="1" x14ac:dyDescent="0.25">
      <c r="A114" s="1281"/>
      <c r="B114" s="2330"/>
      <c r="C114" s="2331"/>
      <c r="D114" s="441"/>
      <c r="E114" s="1028"/>
      <c r="F114" s="1028"/>
      <c r="G114" s="993"/>
      <c r="H114" s="993"/>
      <c r="I114" s="993"/>
      <c r="J114" s="993"/>
      <c r="K114" s="993"/>
    </row>
    <row r="115" spans="1:11" s="424" customFormat="1" x14ac:dyDescent="0.25">
      <c r="A115" s="1281"/>
      <c r="B115" s="2330"/>
      <c r="C115" s="2331"/>
      <c r="D115" s="441"/>
      <c r="E115" s="1028"/>
      <c r="F115" s="1028"/>
      <c r="G115" s="993"/>
      <c r="H115" s="993"/>
      <c r="I115" s="993"/>
      <c r="J115" s="993"/>
      <c r="K115" s="993"/>
    </row>
    <row r="116" spans="1:11" s="424" customFormat="1" x14ac:dyDescent="0.25">
      <c r="A116" s="1281"/>
      <c r="B116" s="2330"/>
      <c r="C116" s="2331"/>
      <c r="D116" s="441"/>
      <c r="E116" s="1028"/>
      <c r="F116" s="1028"/>
      <c r="G116" s="993"/>
      <c r="H116" s="993"/>
      <c r="I116" s="993"/>
      <c r="J116" s="993"/>
      <c r="K116" s="993"/>
    </row>
    <row r="117" spans="1:11" s="424" customFormat="1" x14ac:dyDescent="0.25">
      <c r="A117" s="1281"/>
      <c r="B117" s="2330"/>
      <c r="C117" s="2331"/>
      <c r="D117" s="441"/>
      <c r="E117" s="1028"/>
      <c r="F117" s="1028"/>
      <c r="G117" s="993"/>
      <c r="H117" s="993"/>
      <c r="I117" s="993"/>
      <c r="J117" s="993"/>
      <c r="K117" s="993"/>
    </row>
    <row r="118" spans="1:11" s="424" customFormat="1" x14ac:dyDescent="0.25">
      <c r="A118" s="1281"/>
      <c r="B118" s="2330"/>
      <c r="C118" s="2331"/>
      <c r="D118" s="441"/>
      <c r="E118" s="1028"/>
      <c r="F118" s="1028"/>
      <c r="G118" s="993"/>
      <c r="H118" s="993"/>
      <c r="I118" s="993"/>
      <c r="J118" s="993"/>
      <c r="K118" s="993"/>
    </row>
    <row r="119" spans="1:11" s="424" customFormat="1" x14ac:dyDescent="0.25">
      <c r="A119" s="1281"/>
      <c r="B119" s="2330"/>
      <c r="C119" s="2331"/>
      <c r="D119" s="441"/>
      <c r="E119" s="1028"/>
      <c r="F119" s="1028"/>
      <c r="G119" s="993"/>
      <c r="H119" s="993"/>
      <c r="I119" s="993"/>
      <c r="J119" s="993"/>
      <c r="K119" s="993"/>
    </row>
    <row r="120" spans="1:11" s="424" customFormat="1" x14ac:dyDescent="0.25">
      <c r="A120" s="1281"/>
      <c r="B120" s="2330"/>
      <c r="C120" s="2331"/>
      <c r="D120" s="441"/>
      <c r="E120" s="1028"/>
      <c r="F120" s="1028"/>
      <c r="G120" s="993"/>
      <c r="H120" s="993"/>
      <c r="I120" s="993"/>
      <c r="J120" s="993"/>
      <c r="K120" s="993"/>
    </row>
    <row r="121" spans="1:11" s="424" customFormat="1" x14ac:dyDescent="0.25">
      <c r="A121" s="1281"/>
      <c r="B121" s="2330"/>
      <c r="C121" s="2331"/>
      <c r="D121" s="441"/>
      <c r="E121" s="1028"/>
      <c r="F121" s="1028"/>
      <c r="G121" s="993"/>
      <c r="H121" s="993"/>
      <c r="I121" s="993"/>
      <c r="J121" s="993"/>
      <c r="K121" s="993"/>
    </row>
    <row r="122" spans="1:11" s="424" customFormat="1" x14ac:dyDescent="0.25">
      <c r="A122" s="1281"/>
      <c r="B122" s="2330"/>
      <c r="C122" s="2331"/>
      <c r="D122" s="441"/>
      <c r="E122" s="1028"/>
      <c r="F122" s="1028"/>
      <c r="G122" s="993"/>
      <c r="H122" s="993"/>
      <c r="I122" s="993"/>
      <c r="J122" s="993"/>
      <c r="K122" s="993"/>
    </row>
    <row r="123" spans="1:11" s="424" customFormat="1" x14ac:dyDescent="0.25">
      <c r="A123" s="1281"/>
      <c r="B123" s="2330"/>
      <c r="C123" s="2331"/>
      <c r="D123" s="441"/>
      <c r="E123" s="1028"/>
      <c r="F123" s="1028"/>
      <c r="G123" s="993"/>
      <c r="H123" s="993"/>
      <c r="I123" s="993"/>
      <c r="J123" s="993"/>
      <c r="K123" s="993"/>
    </row>
    <row r="124" spans="1:11" s="424" customFormat="1" x14ac:dyDescent="0.25">
      <c r="A124" s="1281"/>
      <c r="B124" s="2330"/>
      <c r="C124" s="2331"/>
      <c r="D124" s="441"/>
      <c r="E124" s="1028"/>
      <c r="F124" s="1028"/>
      <c r="G124" s="993"/>
      <c r="H124" s="993"/>
      <c r="I124" s="993"/>
      <c r="J124" s="993"/>
      <c r="K124" s="993"/>
    </row>
    <row r="125" spans="1:11" s="424" customFormat="1" x14ac:dyDescent="0.25">
      <c r="A125" s="1281"/>
      <c r="B125" s="2330"/>
      <c r="C125" s="2331"/>
      <c r="D125" s="441"/>
      <c r="E125" s="1028"/>
      <c r="F125" s="1028"/>
      <c r="G125" s="993"/>
      <c r="H125" s="993"/>
      <c r="I125" s="993"/>
      <c r="J125" s="993"/>
      <c r="K125" s="993"/>
    </row>
    <row r="126" spans="1:11" s="424" customFormat="1" x14ac:dyDescent="0.25">
      <c r="A126" s="1281"/>
      <c r="B126" s="2330"/>
      <c r="C126" s="2331"/>
      <c r="D126" s="441"/>
      <c r="E126" s="1028"/>
      <c r="F126" s="1028"/>
      <c r="G126" s="993"/>
      <c r="H126" s="993"/>
      <c r="I126" s="993"/>
      <c r="J126" s="993"/>
      <c r="K126" s="993"/>
    </row>
    <row r="127" spans="1:11" s="424" customFormat="1" x14ac:dyDescent="0.25">
      <c r="A127" s="1281"/>
      <c r="B127" s="2330"/>
      <c r="C127" s="2331"/>
      <c r="D127" s="441"/>
      <c r="E127" s="1028"/>
      <c r="F127" s="1028"/>
      <c r="G127" s="993"/>
      <c r="H127" s="993"/>
      <c r="I127" s="993"/>
      <c r="J127" s="993"/>
      <c r="K127" s="993"/>
    </row>
    <row r="128" spans="1:11" s="424" customFormat="1" x14ac:dyDescent="0.25">
      <c r="A128" s="1281"/>
      <c r="B128" s="2330"/>
      <c r="C128" s="2331"/>
      <c r="D128" s="441"/>
      <c r="E128" s="1028"/>
      <c r="F128" s="1028"/>
      <c r="G128" s="993"/>
      <c r="H128" s="993"/>
      <c r="I128" s="993"/>
      <c r="J128" s="993"/>
      <c r="K128" s="993"/>
    </row>
    <row r="129" spans="1:11" s="424" customFormat="1" x14ac:dyDescent="0.25">
      <c r="A129" s="1281"/>
      <c r="B129" s="2330"/>
      <c r="C129" s="2331"/>
      <c r="D129" s="441"/>
      <c r="E129" s="1028"/>
      <c r="F129" s="1028"/>
      <c r="G129" s="993"/>
      <c r="H129" s="993"/>
      <c r="I129" s="993"/>
      <c r="J129" s="993"/>
      <c r="K129" s="993"/>
    </row>
    <row r="130" spans="1:11" s="424" customFormat="1" x14ac:dyDescent="0.25">
      <c r="A130" s="1281"/>
      <c r="B130" s="2330"/>
      <c r="C130" s="2331"/>
      <c r="D130" s="441"/>
      <c r="E130" s="1028"/>
      <c r="F130" s="1028"/>
      <c r="G130" s="993"/>
      <c r="H130" s="993"/>
      <c r="I130" s="993"/>
      <c r="J130" s="993"/>
      <c r="K130" s="993"/>
    </row>
    <row r="131" spans="1:11" s="424" customFormat="1" x14ac:dyDescent="0.25">
      <c r="A131" s="1281"/>
      <c r="B131" s="2330"/>
      <c r="C131" s="2331"/>
      <c r="D131" s="441"/>
      <c r="E131" s="1028"/>
      <c r="F131" s="1028"/>
      <c r="G131" s="993"/>
      <c r="H131" s="993"/>
      <c r="I131" s="993"/>
      <c r="J131" s="993"/>
      <c r="K131" s="993"/>
    </row>
    <row r="132" spans="1:11" s="424" customFormat="1" x14ac:dyDescent="0.25">
      <c r="A132" s="1281"/>
      <c r="B132" s="2330"/>
      <c r="C132" s="2331"/>
      <c r="D132" s="441"/>
      <c r="E132" s="1028"/>
      <c r="F132" s="1028"/>
      <c r="G132" s="993"/>
      <c r="H132" s="993"/>
      <c r="I132" s="993"/>
      <c r="J132" s="993"/>
      <c r="K132" s="993"/>
    </row>
    <row r="133" spans="1:11" s="424" customFormat="1" x14ac:dyDescent="0.25">
      <c r="A133" s="1281"/>
      <c r="B133" s="2330"/>
      <c r="C133" s="2331"/>
      <c r="D133" s="441"/>
      <c r="E133" s="1028"/>
      <c r="F133" s="1028"/>
      <c r="G133" s="993"/>
      <c r="H133" s="993"/>
      <c r="I133" s="993"/>
      <c r="J133" s="993"/>
      <c r="K133" s="993"/>
    </row>
    <row r="134" spans="1:11" s="424" customFormat="1" x14ac:dyDescent="0.25">
      <c r="A134" s="1281"/>
      <c r="B134" s="2330"/>
      <c r="C134" s="2331"/>
      <c r="D134" s="441"/>
      <c r="E134" s="1028"/>
      <c r="F134" s="1028"/>
      <c r="G134" s="993"/>
      <c r="H134" s="993"/>
      <c r="I134" s="993"/>
      <c r="J134" s="993"/>
      <c r="K134" s="993"/>
    </row>
    <row r="135" spans="1:11" s="424" customFormat="1" x14ac:dyDescent="0.25">
      <c r="A135" s="1281"/>
      <c r="B135" s="2330"/>
      <c r="C135" s="2331"/>
      <c r="D135" s="441"/>
      <c r="E135" s="1028"/>
      <c r="F135" s="1028"/>
      <c r="G135" s="993"/>
      <c r="H135" s="993"/>
      <c r="I135" s="993"/>
      <c r="J135" s="993"/>
      <c r="K135" s="993"/>
    </row>
    <row r="195" spans="1:14" hidden="1" x14ac:dyDescent="0.25"/>
    <row r="196" spans="1:14" hidden="1" x14ac:dyDescent="0.25"/>
    <row r="197" spans="1:14" hidden="1" x14ac:dyDescent="0.25"/>
    <row r="198" spans="1:14" hidden="1" x14ac:dyDescent="0.25"/>
    <row r="199" spans="1:14" hidden="1" x14ac:dyDescent="0.25">
      <c r="A199" s="455" t="s">
        <v>721</v>
      </c>
      <c r="B199" s="455" t="s">
        <v>858</v>
      </c>
      <c r="C199" s="455" t="s">
        <v>712</v>
      </c>
      <c r="D199" s="455" t="s">
        <v>859</v>
      </c>
      <c r="E199" s="1031" t="s">
        <v>860</v>
      </c>
      <c r="F199" s="1032" t="s">
        <v>861</v>
      </c>
      <c r="G199" s="1020"/>
      <c r="H199" s="1031" t="s">
        <v>862</v>
      </c>
      <c r="I199" s="1031" t="s">
        <v>863</v>
      </c>
      <c r="J199" s="1031" t="s">
        <v>864</v>
      </c>
      <c r="K199" s="1031" t="s">
        <v>865</v>
      </c>
      <c r="L199" s="455" t="s">
        <v>866</v>
      </c>
      <c r="M199" s="455" t="s">
        <v>867</v>
      </c>
      <c r="N199"/>
    </row>
    <row r="200" spans="1:14" hidden="1" x14ac:dyDescent="0.25">
      <c r="A200" t="s">
        <v>868</v>
      </c>
      <c r="B200" t="s">
        <v>157</v>
      </c>
      <c r="C200" t="s">
        <v>717</v>
      </c>
      <c r="D200" t="s">
        <v>869</v>
      </c>
      <c r="E200" s="1020" t="s">
        <v>155</v>
      </c>
      <c r="F200" s="1033" t="s">
        <v>870</v>
      </c>
      <c r="G200" s="1020"/>
      <c r="H200" s="1020" t="s">
        <v>871</v>
      </c>
      <c r="I200" s="1020" t="s">
        <v>872</v>
      </c>
      <c r="J200" s="1020" t="s">
        <v>154</v>
      </c>
      <c r="K200" s="1020" t="s">
        <v>873</v>
      </c>
      <c r="L200" s="456" t="s">
        <v>874</v>
      </c>
      <c r="M200" t="s">
        <v>875</v>
      </c>
      <c r="N200"/>
    </row>
    <row r="201" spans="1:14" hidden="1" x14ac:dyDescent="0.25">
      <c r="A201" t="s">
        <v>716</v>
      </c>
      <c r="B201" t="s">
        <v>132</v>
      </c>
      <c r="C201" t="s">
        <v>715</v>
      </c>
      <c r="D201" t="s">
        <v>133</v>
      </c>
      <c r="E201" s="1020" t="s">
        <v>876</v>
      </c>
      <c r="F201" s="1033" t="s">
        <v>877</v>
      </c>
      <c r="G201" s="1020"/>
      <c r="H201" s="1020" t="s">
        <v>878</v>
      </c>
      <c r="I201" s="1020" t="s">
        <v>716</v>
      </c>
      <c r="J201" s="1020" t="s">
        <v>133</v>
      </c>
      <c r="K201" s="1020" t="s">
        <v>876</v>
      </c>
      <c r="L201" s="456" t="s">
        <v>879</v>
      </c>
      <c r="M201" t="s">
        <v>880</v>
      </c>
      <c r="N201"/>
    </row>
    <row r="202" spans="1:14" hidden="1" x14ac:dyDescent="0.25">
      <c r="A202" t="s">
        <v>714</v>
      </c>
      <c r="B202" t="s">
        <v>155</v>
      </c>
      <c r="C202" t="s">
        <v>1801</v>
      </c>
      <c r="D202" t="s">
        <v>156</v>
      </c>
      <c r="E202" s="1020" t="s">
        <v>157</v>
      </c>
      <c r="F202" s="1034" t="s">
        <v>881</v>
      </c>
      <c r="G202" s="1020"/>
      <c r="H202" s="1020" t="s">
        <v>882</v>
      </c>
      <c r="I202" s="1020" t="s">
        <v>883</v>
      </c>
      <c r="J202" s="1020" t="s">
        <v>156</v>
      </c>
      <c r="K202" s="1020" t="s">
        <v>884</v>
      </c>
      <c r="L202" s="456" t="s">
        <v>885</v>
      </c>
      <c r="M202" t="s">
        <v>886</v>
      </c>
      <c r="N202"/>
    </row>
    <row r="203" spans="1:14" hidden="1" x14ac:dyDescent="0.25">
      <c r="A203" t="s">
        <v>1801</v>
      </c>
      <c r="B203" t="s">
        <v>1801</v>
      </c>
      <c r="C203"/>
      <c r="D203"/>
      <c r="E203" s="1020"/>
      <c r="F203" s="1034" t="s">
        <v>887</v>
      </c>
      <c r="G203" s="1020"/>
      <c r="H203" s="1020"/>
      <c r="I203" s="1020"/>
      <c r="J203" s="1020"/>
      <c r="K203" s="1020"/>
      <c r="L203" s="456" t="s">
        <v>888</v>
      </c>
      <c r="M203" t="s">
        <v>889</v>
      </c>
      <c r="N203"/>
    </row>
    <row r="204" spans="1:14" hidden="1" x14ac:dyDescent="0.25">
      <c r="A204"/>
      <c r="B204"/>
      <c r="C204"/>
      <c r="D204"/>
      <c r="E204" s="1020"/>
      <c r="F204" s="1034" t="s">
        <v>687</v>
      </c>
      <c r="G204" s="1020"/>
      <c r="H204" s="1020"/>
      <c r="I204" s="1020"/>
      <c r="J204" s="1020"/>
      <c r="K204" s="1020"/>
      <c r="L204"/>
      <c r="M204" t="s">
        <v>500</v>
      </c>
      <c r="N204"/>
    </row>
    <row r="205" spans="1:14" hidden="1" x14ac:dyDescent="0.25">
      <c r="A205"/>
      <c r="B205"/>
      <c r="C205"/>
      <c r="D205"/>
      <c r="E205" s="1020"/>
      <c r="F205" s="1020"/>
      <c r="G205" s="1020"/>
      <c r="H205" s="1020"/>
      <c r="I205" s="1020"/>
      <c r="J205" s="1020"/>
      <c r="K205" s="1020"/>
      <c r="L205"/>
      <c r="M205" t="s">
        <v>890</v>
      </c>
      <c r="N205"/>
    </row>
    <row r="206" spans="1:14" ht="30" hidden="1" x14ac:dyDescent="0.25">
      <c r="A206"/>
      <c r="B206"/>
      <c r="C206"/>
      <c r="D206"/>
      <c r="E206" s="1020"/>
      <c r="F206" s="1033" t="s">
        <v>891</v>
      </c>
      <c r="G206" s="1020"/>
      <c r="H206" s="1020"/>
      <c r="I206" s="1020"/>
      <c r="J206" s="1020"/>
      <c r="K206" s="1020"/>
      <c r="L206"/>
      <c r="M206" t="s">
        <v>892</v>
      </c>
      <c r="N206"/>
    </row>
    <row r="207" spans="1:14" hidden="1" x14ac:dyDescent="0.25">
      <c r="A207"/>
      <c r="B207"/>
      <c r="C207"/>
      <c r="D207"/>
      <c r="E207" s="1020"/>
      <c r="F207" s="1020"/>
      <c r="G207" s="1020"/>
      <c r="H207" s="1020"/>
      <c r="I207" s="1020"/>
      <c r="J207" s="1020"/>
      <c r="K207" s="1020"/>
      <c r="L207"/>
      <c r="M207"/>
      <c r="N207"/>
    </row>
    <row r="208" spans="1:14" hidden="1" x14ac:dyDescent="0.25"/>
    <row r="209" hidden="1" x14ac:dyDescent="0.25"/>
    <row r="210" hidden="1" x14ac:dyDescent="0.25"/>
    <row r="211" hidden="1" x14ac:dyDescent="0.25"/>
    <row r="212" hidden="1" x14ac:dyDescent="0.25"/>
    <row r="213" hidden="1" x14ac:dyDescent="0.25"/>
    <row r="214" hidden="1" x14ac:dyDescent="0.25"/>
    <row r="215" hidden="1" x14ac:dyDescent="0.25"/>
    <row r="216" hidden="1" x14ac:dyDescent="0.25"/>
    <row r="217" hidden="1" x14ac:dyDescent="0.25"/>
    <row r="218" hidden="1" x14ac:dyDescent="0.25"/>
    <row r="219" hidden="1" x14ac:dyDescent="0.25"/>
    <row r="220" hidden="1" x14ac:dyDescent="0.25"/>
    <row r="221" hidden="1" x14ac:dyDescent="0.25"/>
    <row r="222" hidden="1" x14ac:dyDescent="0.25"/>
    <row r="223" hidden="1" x14ac:dyDescent="0.25"/>
    <row r="224" hidden="1" x14ac:dyDescent="0.25"/>
    <row r="225" hidden="1" x14ac:dyDescent="0.25"/>
    <row r="226" hidden="1" x14ac:dyDescent="0.25"/>
    <row r="227" hidden="1" x14ac:dyDescent="0.25"/>
    <row r="228" hidden="1" x14ac:dyDescent="0.25"/>
    <row r="229" hidden="1" x14ac:dyDescent="0.25"/>
    <row r="230" hidden="1" x14ac:dyDescent="0.25"/>
    <row r="231" hidden="1" x14ac:dyDescent="0.25"/>
    <row r="232" hidden="1" x14ac:dyDescent="0.25"/>
    <row r="233" hidden="1" x14ac:dyDescent="0.25"/>
    <row r="234" hidden="1" x14ac:dyDescent="0.25"/>
    <row r="235" hidden="1" x14ac:dyDescent="0.25"/>
    <row r="236" hidden="1" x14ac:dyDescent="0.25"/>
    <row r="237" hidden="1" x14ac:dyDescent="0.25"/>
    <row r="238" hidden="1" x14ac:dyDescent="0.25"/>
    <row r="239" hidden="1" x14ac:dyDescent="0.25"/>
    <row r="240" hidden="1" x14ac:dyDescent="0.25"/>
    <row r="241" hidden="1" x14ac:dyDescent="0.25"/>
    <row r="242" hidden="1" x14ac:dyDescent="0.25"/>
    <row r="243" hidden="1" x14ac:dyDescent="0.25"/>
    <row r="244" hidden="1" x14ac:dyDescent="0.25"/>
    <row r="245" hidden="1" x14ac:dyDescent="0.25"/>
    <row r="246" hidden="1" x14ac:dyDescent="0.25"/>
    <row r="247" hidden="1" x14ac:dyDescent="0.25"/>
    <row r="248" hidden="1" x14ac:dyDescent="0.25"/>
    <row r="249" hidden="1" x14ac:dyDescent="0.25"/>
    <row r="250" hidden="1" x14ac:dyDescent="0.25"/>
    <row r="251" hidden="1" x14ac:dyDescent="0.25"/>
    <row r="252" hidden="1" x14ac:dyDescent="0.25"/>
    <row r="253" hidden="1" x14ac:dyDescent="0.25"/>
    <row r="254" hidden="1" x14ac:dyDescent="0.25"/>
    <row r="255" hidden="1" x14ac:dyDescent="0.25"/>
    <row r="256" hidden="1" x14ac:dyDescent="0.25"/>
    <row r="257" hidden="1" x14ac:dyDescent="0.25"/>
    <row r="258" hidden="1" x14ac:dyDescent="0.25"/>
    <row r="259" hidden="1" x14ac:dyDescent="0.25"/>
    <row r="260" hidden="1" x14ac:dyDescent="0.25"/>
    <row r="261" hidden="1" x14ac:dyDescent="0.25"/>
    <row r="262" hidden="1" x14ac:dyDescent="0.25"/>
    <row r="263" hidden="1" x14ac:dyDescent="0.25"/>
    <row r="264" hidden="1" x14ac:dyDescent="0.25"/>
    <row r="265" hidden="1" x14ac:dyDescent="0.25"/>
    <row r="266" hidden="1" x14ac:dyDescent="0.25"/>
    <row r="267" hidden="1" x14ac:dyDescent="0.25"/>
    <row r="268" hidden="1" x14ac:dyDescent="0.25"/>
    <row r="269" hidden="1" x14ac:dyDescent="0.25"/>
    <row r="270" hidden="1" x14ac:dyDescent="0.25"/>
    <row r="271" hidden="1" x14ac:dyDescent="0.25"/>
    <row r="272" hidden="1" x14ac:dyDescent="0.25"/>
    <row r="273" hidden="1" x14ac:dyDescent="0.25"/>
    <row r="274" hidden="1" x14ac:dyDescent="0.25"/>
    <row r="275" hidden="1" x14ac:dyDescent="0.25"/>
    <row r="276" hidden="1" x14ac:dyDescent="0.25"/>
    <row r="277" hidden="1" x14ac:dyDescent="0.25"/>
    <row r="278" hidden="1" x14ac:dyDescent="0.25"/>
    <row r="279" hidden="1" x14ac:dyDescent="0.25"/>
    <row r="280" hidden="1" x14ac:dyDescent="0.25"/>
    <row r="281" hidden="1" x14ac:dyDescent="0.25"/>
    <row r="282" hidden="1" x14ac:dyDescent="0.25"/>
    <row r="283" hidden="1" x14ac:dyDescent="0.25"/>
    <row r="284" hidden="1" x14ac:dyDescent="0.25"/>
    <row r="285" hidden="1" x14ac:dyDescent="0.25"/>
    <row r="286" hidden="1" x14ac:dyDescent="0.25"/>
    <row r="287" hidden="1" x14ac:dyDescent="0.25"/>
    <row r="288" hidden="1" x14ac:dyDescent="0.25"/>
    <row r="289" hidden="1" x14ac:dyDescent="0.25"/>
    <row r="290" hidden="1" x14ac:dyDescent="0.25"/>
    <row r="291" hidden="1" x14ac:dyDescent="0.25"/>
    <row r="292" hidden="1" x14ac:dyDescent="0.25"/>
    <row r="293" hidden="1" x14ac:dyDescent="0.25"/>
    <row r="294" hidden="1" x14ac:dyDescent="0.25"/>
    <row r="295" hidden="1" x14ac:dyDescent="0.25"/>
    <row r="296" hidden="1" x14ac:dyDescent="0.25"/>
    <row r="297" hidden="1" x14ac:dyDescent="0.25"/>
    <row r="298" hidden="1" x14ac:dyDescent="0.25"/>
    <row r="299" hidden="1" x14ac:dyDescent="0.25"/>
    <row r="300" hidden="1" x14ac:dyDescent="0.25"/>
    <row r="301" hidden="1" x14ac:dyDescent="0.25"/>
    <row r="302" hidden="1" x14ac:dyDescent="0.25"/>
    <row r="303" hidden="1" x14ac:dyDescent="0.25"/>
    <row r="304" hidden="1" x14ac:dyDescent="0.25"/>
  </sheetData>
  <sheetProtection algorithmName="SHA-512" hashValue="vq62SYNp9+ZPN94JlBoU4oAWP1dlArgscUd089xvhIv7nLP4jpd6outempoctj8AjVHehiVw/5Iici5EO3VfbQ==" saltValue="Pw/OohHHGIrJrW1KC+f3vw==" spinCount="100000" sheet="1" objects="1" scenarios="1"/>
  <mergeCells count="144">
    <mergeCell ref="A14:F14"/>
    <mergeCell ref="A15:F15"/>
    <mergeCell ref="A6:A7"/>
    <mergeCell ref="B9:C9"/>
    <mergeCell ref="B10:C10"/>
    <mergeCell ref="B11:C11"/>
    <mergeCell ref="B6:F6"/>
    <mergeCell ref="B7:F7"/>
    <mergeCell ref="B8:F8"/>
    <mergeCell ref="A27:B27"/>
    <mergeCell ref="A28:B28"/>
    <mergeCell ref="A29:B29"/>
    <mergeCell ref="A31:D31"/>
    <mergeCell ref="A32:D32"/>
    <mergeCell ref="E32:F32"/>
    <mergeCell ref="A18:F18"/>
    <mergeCell ref="A20:B20"/>
    <mergeCell ref="A21:B21"/>
    <mergeCell ref="A22:B22"/>
    <mergeCell ref="A24:B24"/>
    <mergeCell ref="A25:B25"/>
    <mergeCell ref="A19:F19"/>
    <mergeCell ref="A34:B35"/>
    <mergeCell ref="C34:C35"/>
    <mergeCell ref="D34:D35"/>
    <mergeCell ref="A37:D37"/>
    <mergeCell ref="E37:F37"/>
    <mergeCell ref="G37:J37"/>
    <mergeCell ref="G32:J32"/>
    <mergeCell ref="K32:L32"/>
    <mergeCell ref="A33:B33"/>
    <mergeCell ref="E33:F33"/>
    <mergeCell ref="G33:J33"/>
    <mergeCell ref="K33:L33"/>
    <mergeCell ref="A47:B47"/>
    <mergeCell ref="A48:B48"/>
    <mergeCell ref="A49:B49"/>
    <mergeCell ref="K37:L37"/>
    <mergeCell ref="A38:B38"/>
    <mergeCell ref="E38:F38"/>
    <mergeCell ref="G38:J38"/>
    <mergeCell ref="K38:L38"/>
    <mergeCell ref="A39:B40"/>
    <mergeCell ref="C39:C40"/>
    <mergeCell ref="D39:D40"/>
    <mergeCell ref="A44:B44"/>
    <mergeCell ref="A45:B45"/>
    <mergeCell ref="A46:B46"/>
    <mergeCell ref="A43:B43"/>
    <mergeCell ref="A42:D42"/>
    <mergeCell ref="A59:F59"/>
    <mergeCell ref="A67:F67"/>
    <mergeCell ref="A68:F68"/>
    <mergeCell ref="A69:F69"/>
    <mergeCell ref="A70:B70"/>
    <mergeCell ref="C70:D70"/>
    <mergeCell ref="A52:F52"/>
    <mergeCell ref="A53:F56"/>
    <mergeCell ref="A58:F58"/>
    <mergeCell ref="A75:B75"/>
    <mergeCell ref="C75:D75"/>
    <mergeCell ref="A76:B76"/>
    <mergeCell ref="C76:D76"/>
    <mergeCell ref="A77:B77"/>
    <mergeCell ref="C77:D77"/>
    <mergeCell ref="A71:B71"/>
    <mergeCell ref="C71:D71"/>
    <mergeCell ref="A72:B72"/>
    <mergeCell ref="C72:D72"/>
    <mergeCell ref="A73:F73"/>
    <mergeCell ref="A74:B74"/>
    <mergeCell ref="C74:D74"/>
    <mergeCell ref="A81:B81"/>
    <mergeCell ref="C81:D81"/>
    <mergeCell ref="A83:F83"/>
    <mergeCell ref="A84:F84"/>
    <mergeCell ref="B85:C85"/>
    <mergeCell ref="E85:F85"/>
    <mergeCell ref="A78:B78"/>
    <mergeCell ref="C78:D78"/>
    <mergeCell ref="A79:B79"/>
    <mergeCell ref="C79:D79"/>
    <mergeCell ref="A80:B80"/>
    <mergeCell ref="C80:D80"/>
    <mergeCell ref="B89:C89"/>
    <mergeCell ref="E89:F89"/>
    <mergeCell ref="B90:C90"/>
    <mergeCell ref="E90:F90"/>
    <mergeCell ref="B91:C91"/>
    <mergeCell ref="E91:F91"/>
    <mergeCell ref="B86:C86"/>
    <mergeCell ref="E86:F86"/>
    <mergeCell ref="B87:C87"/>
    <mergeCell ref="E87:F87"/>
    <mergeCell ref="B88:C88"/>
    <mergeCell ref="E88:F88"/>
    <mergeCell ref="B97:C97"/>
    <mergeCell ref="B98:C98"/>
    <mergeCell ref="B99:C99"/>
    <mergeCell ref="B100:C100"/>
    <mergeCell ref="B101:C101"/>
    <mergeCell ref="B102:C102"/>
    <mergeCell ref="B92:C92"/>
    <mergeCell ref="E92:F92"/>
    <mergeCell ref="B93:C93"/>
    <mergeCell ref="E93:F93"/>
    <mergeCell ref="B95:C95"/>
    <mergeCell ref="B96:C96"/>
    <mergeCell ref="B109:C109"/>
    <mergeCell ref="B110:C110"/>
    <mergeCell ref="B111:C111"/>
    <mergeCell ref="B112:C112"/>
    <mergeCell ref="B113:C113"/>
    <mergeCell ref="B114:C114"/>
    <mergeCell ref="B103:C103"/>
    <mergeCell ref="B104:C104"/>
    <mergeCell ref="B105:C105"/>
    <mergeCell ref="B106:C106"/>
    <mergeCell ref="B107:C107"/>
    <mergeCell ref="B108:C108"/>
    <mergeCell ref="H2:H3"/>
    <mergeCell ref="A2:A3"/>
    <mergeCell ref="B2:G3"/>
    <mergeCell ref="B133:C133"/>
    <mergeCell ref="B134:C134"/>
    <mergeCell ref="B135:C135"/>
    <mergeCell ref="B127:C127"/>
    <mergeCell ref="B128:C128"/>
    <mergeCell ref="B129:C129"/>
    <mergeCell ref="B130:C130"/>
    <mergeCell ref="B131:C131"/>
    <mergeCell ref="B132:C132"/>
    <mergeCell ref="B121:C121"/>
    <mergeCell ref="B122:C122"/>
    <mergeCell ref="B123:C123"/>
    <mergeCell ref="B124:C124"/>
    <mergeCell ref="B125:C125"/>
    <mergeCell ref="B126:C126"/>
    <mergeCell ref="B115:C115"/>
    <mergeCell ref="B116:C116"/>
    <mergeCell ref="B117:C117"/>
    <mergeCell ref="B118:C118"/>
    <mergeCell ref="B119:C119"/>
    <mergeCell ref="B120:C120"/>
  </mergeCells>
  <conditionalFormatting sqref="A21">
    <cfRule type="containsText" dxfId="192" priority="48" operator="containsText" text="Negativa o abstención">
      <formula>NOT(ISERROR(SEARCH("Negativa o abstención",A21)))</formula>
    </cfRule>
    <cfRule type="containsText" dxfId="191" priority="49" operator="containsText" text="Negativa o abstención">
      <formula>NOT(ISERROR(SEARCH("Negativa o abstención",A21)))</formula>
    </cfRule>
    <cfRule type="containsText" dxfId="190" priority="50" operator="containsText" text="Sin salvedades">
      <formula>NOT(ISERROR(SEARCH("Sin salvedades",A21)))</formula>
    </cfRule>
    <cfRule type="containsText" dxfId="189" priority="51" operator="containsText" text="Sin salvedades">
      <formula>NOT(ISERROR(SEARCH("Sin salvedades",A21)))</formula>
    </cfRule>
    <cfRule type="containsText" dxfId="188" priority="52" operator="containsText" text="Con salvedades">
      <formula>NOT(ISERROR(SEARCH("Con salvedades",A21)))</formula>
    </cfRule>
    <cfRule type="containsText" dxfId="187" priority="53" operator="containsText" text="Con salvedades">
      <formula>NOT(ISERROR(SEARCH("Con salvedades",A21)))</formula>
    </cfRule>
    <cfRule type="containsText" dxfId="186" priority="54" operator="containsText" text="Negativa o abstención">
      <formula>NOT(ISERROR(SEARCH("Negativa o abstención",A21)))</formula>
    </cfRule>
    <cfRule type="containsText" dxfId="185" priority="55" operator="containsText" text="Con salvedades">
      <formula>NOT(ISERROR(SEARCH("Con salvedades",A21)))</formula>
    </cfRule>
    <cfRule type="containsText" dxfId="184" priority="56" operator="containsText" text="Con salvedades">
      <formula>NOT(ISERROR(SEARCH("Con salvedades",A21)))</formula>
    </cfRule>
    <cfRule type="containsText" dxfId="183" priority="57" operator="containsText" text="Sin salvedades">
      <formula>NOT(ISERROR(SEARCH("Sin salvedades",A21)))</formula>
    </cfRule>
  </conditionalFormatting>
  <conditionalFormatting sqref="A22">
    <cfRule type="containsText" dxfId="182" priority="58" operator="containsText" text="2">
      <formula>NOT(ISERROR(SEARCH("2",A22)))</formula>
    </cfRule>
    <cfRule type="containsText" dxfId="181" priority="59" operator="containsText" text="1">
      <formula>NOT(ISERROR(SEARCH("1",A22)))</formula>
    </cfRule>
    <cfRule type="containsText" dxfId="180" priority="60" operator="containsText" text="1">
      <formula>NOT(ISERROR(SEARCH("1",A22)))</formula>
    </cfRule>
    <cfRule type="containsText" dxfId="179" priority="61" operator="containsText" text="0">
      <formula>NOT(ISERROR(SEARCH("0",A22)))</formula>
    </cfRule>
    <cfRule type="containsText" dxfId="178" priority="62" operator="containsText" text="3">
      <formula>NOT(ISERROR(SEARCH("3",A22)))</formula>
    </cfRule>
    <cfRule type="containsText" dxfId="177" priority="63" operator="containsText" text="3">
      <formula>NOT(ISERROR(SEARCH("3",A22)))</formula>
    </cfRule>
    <cfRule type="containsText" dxfId="176" priority="64" operator="containsText" text="1">
      <formula>NOT(ISERROR(SEARCH("1",A22)))</formula>
    </cfRule>
    <cfRule type="containsText" dxfId="175" priority="65" operator="containsText" text="0">
      <formula>NOT(ISERROR(SEARCH("0",A22)))</formula>
    </cfRule>
    <cfRule type="containsText" dxfId="174" priority="66" operator="containsText" text="Eficiente">
      <formula>NOT(ISERROR(SEARCH("Eficiente",A22)))</formula>
    </cfRule>
  </conditionalFormatting>
  <conditionalFormatting sqref="C21">
    <cfRule type="containsText" dxfId="173" priority="44" operator="containsText" text="Ineficiente">
      <formula>NOT(ISERROR(SEARCH("Ineficiente",C21)))</formula>
    </cfRule>
    <cfRule type="containsText" dxfId="172" priority="45" operator="containsText" text="Ineficiente">
      <formula>NOT(ISERROR(SEARCH("Ineficiente",C21)))</formula>
    </cfRule>
    <cfRule type="containsText" dxfId="171" priority="46" operator="containsText" text="Con deficiencias">
      <formula>NOT(ISERROR(SEARCH("Con deficiencias",C21)))</formula>
    </cfRule>
    <cfRule type="containsText" dxfId="170" priority="47" operator="containsText" text="Eficiente">
      <formula>NOT(ISERROR(SEARCH("Eficiente",C21)))</formula>
    </cfRule>
  </conditionalFormatting>
  <conditionalFormatting sqref="C22:F22">
    <cfRule type="containsText" dxfId="169" priority="3" operator="containsText" text="2">
      <formula>NOT(ISERROR(SEARCH("2",C22)))</formula>
    </cfRule>
    <cfRule type="containsText" dxfId="168" priority="4" operator="containsText" text="1">
      <formula>NOT(ISERROR(SEARCH("1",C22)))</formula>
    </cfRule>
    <cfRule type="containsText" dxfId="167" priority="5" operator="containsText" text="1">
      <formula>NOT(ISERROR(SEARCH("1",C22)))</formula>
    </cfRule>
    <cfRule type="containsText" dxfId="166" priority="6" operator="containsText" text="0">
      <formula>NOT(ISERROR(SEARCH("0",C22)))</formula>
    </cfRule>
    <cfRule type="containsText" dxfId="165" priority="7" operator="containsText" text="3">
      <formula>NOT(ISERROR(SEARCH("3",C22)))</formula>
    </cfRule>
    <cfRule type="containsText" dxfId="164" priority="8" operator="containsText" text="3">
      <formula>NOT(ISERROR(SEARCH("3",C22)))</formula>
    </cfRule>
    <cfRule type="containsText" dxfId="163" priority="9" operator="containsText" text="1">
      <formula>NOT(ISERROR(SEARCH("1",C22)))</formula>
    </cfRule>
    <cfRule type="containsText" dxfId="162" priority="10" operator="containsText" text="0">
      <formula>NOT(ISERROR(SEARCH("0",C22)))</formula>
    </cfRule>
    <cfRule type="containsText" dxfId="161" priority="11" operator="containsText" text="Eficiente">
      <formula>NOT(ISERROR(SEARCH("Eficiente",C22)))</formula>
    </cfRule>
  </conditionalFormatting>
  <conditionalFormatting sqref="D21">
    <cfRule type="containsText" dxfId="160" priority="31" operator="containsText" text="No fenecida">
      <formula>NOT(ISERROR(SEARCH("No fenecida",D21)))</formula>
    </cfRule>
    <cfRule type="containsText" dxfId="159" priority="32" operator="containsText" text="No fenecida">
      <formula>NOT(ISERROR(SEARCH("No fenecida",D21)))</formula>
    </cfRule>
    <cfRule type="containsText" dxfId="158" priority="33" operator="containsText" text="Fenecida">
      <formula>NOT(ISERROR(SEARCH("Fenecida",D21)))</formula>
    </cfRule>
    <cfRule type="containsText" dxfId="157" priority="34" operator="containsText" text="Negativa o abstención">
      <formula>NOT(ISERROR(SEARCH("Negativa o abstención",D21)))</formula>
    </cfRule>
    <cfRule type="containsText" dxfId="156" priority="35" operator="containsText" text="Negativa o abstención">
      <formula>NOT(ISERROR(SEARCH("Negativa o abstención",D21)))</formula>
    </cfRule>
    <cfRule type="containsText" dxfId="155" priority="36" operator="containsText" text="Sin salvedades">
      <formula>NOT(ISERROR(SEARCH("Sin salvedades",D21)))</formula>
    </cfRule>
    <cfRule type="containsText" dxfId="154" priority="37" operator="containsText" text="Sin salvedades">
      <formula>NOT(ISERROR(SEARCH("Sin salvedades",D21)))</formula>
    </cfRule>
    <cfRule type="containsText" dxfId="153" priority="38" operator="containsText" text="Con salvedades">
      <formula>NOT(ISERROR(SEARCH("Con salvedades",D21)))</formula>
    </cfRule>
    <cfRule type="containsText" dxfId="152" priority="39" operator="containsText" text="Con salvedades">
      <formula>NOT(ISERROR(SEARCH("Con salvedades",D21)))</formula>
    </cfRule>
    <cfRule type="containsText" dxfId="151" priority="40" operator="containsText" text="Negativa o abstención">
      <formula>NOT(ISERROR(SEARCH("Negativa o abstención",D21)))</formula>
    </cfRule>
    <cfRule type="containsText" dxfId="150" priority="41" operator="containsText" text="Con salvedades">
      <formula>NOT(ISERROR(SEARCH("Con salvedades",D21)))</formula>
    </cfRule>
    <cfRule type="containsText" dxfId="149" priority="42" operator="containsText" text="Con salvedades">
      <formula>NOT(ISERROR(SEARCH("Con salvedades",D21)))</formula>
    </cfRule>
    <cfRule type="containsText" dxfId="148" priority="43" operator="containsText" text="Sin salvedades">
      <formula>NOT(ISERROR(SEARCH("Sin salvedades",D21)))</formula>
    </cfRule>
  </conditionalFormatting>
  <conditionalFormatting sqref="E11">
    <cfRule type="colorScale" priority="30">
      <colorScale>
        <cfvo type="min"/>
        <cfvo type="max"/>
        <color rgb="FF63BE7B"/>
        <color rgb="FFFCFCFF"/>
      </colorScale>
    </cfRule>
  </conditionalFormatting>
  <conditionalFormatting sqref="E21">
    <cfRule type="containsText" dxfId="147" priority="12" operator="containsText" text="Ineficiente">
      <formula>NOT(ISERROR(SEARCH("Ineficiente",E21)))</formula>
    </cfRule>
    <cfRule type="containsText" dxfId="146" priority="13" operator="containsText" text="Medio">
      <formula>NOT(ISERROR(SEARCH("Medio",E21)))</formula>
    </cfRule>
    <cfRule type="containsText" dxfId="145" priority="14" operator="containsText" text="Eficiente">
      <formula>NOT(ISERROR(SEARCH("Eficiente",E21)))</formula>
    </cfRule>
  </conditionalFormatting>
  <conditionalFormatting sqref="F21">
    <cfRule type="containsText" dxfId="144" priority="24" operator="containsText" text="Alto">
      <formula>NOT(ISERROR(SEARCH("Alto",F21)))</formula>
    </cfRule>
    <cfRule type="containsText" dxfId="143" priority="25" operator="containsText" text="Medio">
      <formula>NOT(ISERROR(SEARCH("Medio",F21)))</formula>
    </cfRule>
    <cfRule type="containsText" dxfId="142" priority="26" operator="containsText" text="Bajo">
      <formula>NOT(ISERROR(SEARCH("Bajo",F21)))</formula>
    </cfRule>
  </conditionalFormatting>
  <conditionalFormatting sqref="P10">
    <cfRule type="colorScale" priority="29">
      <colorScale>
        <cfvo type="min"/>
        <cfvo type="max"/>
        <color rgb="FF63BE7B"/>
        <color rgb="FFFCFCFF"/>
      </colorScale>
    </cfRule>
  </conditionalFormatting>
  <conditionalFormatting sqref="AT11:AU11">
    <cfRule type="cellIs" dxfId="141" priority="27" operator="lessThanOrEqual">
      <formula>1</formula>
    </cfRule>
    <cfRule type="cellIs" dxfId="140" priority="28" operator="greaterThanOrEqual">
      <formula>1</formula>
    </cfRule>
  </conditionalFormatting>
  <conditionalFormatting sqref="A2:B2">
    <cfRule type="cellIs" dxfId="139" priority="1" operator="equal">
      <formula>"ERROR"</formula>
    </cfRule>
  </conditionalFormatting>
  <dataValidations disablePrompts="1" count="9">
    <dataValidation type="list" allowBlank="1" showInputMessage="1" showErrorMessage="1" sqref="F21">
      <formula1>$D$200:$D$202</formula1>
    </dataValidation>
    <dataValidation type="list" allowBlank="1" showInputMessage="1" showErrorMessage="1" sqref="E21">
      <formula1>$E$200:$E$202</formula1>
    </dataValidation>
    <dataValidation type="list" allowBlank="1" showInputMessage="1" showErrorMessage="1" sqref="D21">
      <formula1>$C$200:$C$202</formula1>
    </dataValidation>
    <dataValidation type="list" allowBlank="1" showInputMessage="1" showErrorMessage="1" sqref="C21">
      <formula1>$B$200:$B$203</formula1>
    </dataValidation>
    <dataValidation type="list" allowBlank="1" showInputMessage="1" showErrorMessage="1" sqref="A21:B21">
      <formula1>$A$200:$A$203</formula1>
    </dataValidation>
    <dataValidation type="list" allowBlank="1" showInputMessage="1" showErrorMessage="1" sqref="A71:A72 A75:A81">
      <formula1>"60%,61%,62%,63%,64%,65%,66%,67%,68%,69%,70%,71%,72%,73%,74%,75%,76%,77%,78%,79%,80%"</formula1>
    </dataValidation>
    <dataValidation type="list" allowBlank="1" showInputMessage="1" showErrorMessage="1" sqref="B61:B65">
      <formula1>"2%,3%,4%,5%"</formula1>
    </dataValidation>
    <dataValidation type="list" allowBlank="1" showInputMessage="1" showErrorMessage="1" sqref="A86:A93">
      <formula1>"2%,3%,4%,5%,6%,7%,8%"</formula1>
    </dataValidation>
    <dataValidation type="decimal" operator="greaterThan" allowBlank="1" showInputMessage="1" showErrorMessage="1" sqref="A34">
      <formula1>0</formula1>
    </dataValidation>
  </dataValidations>
  <pageMargins left="0.7" right="0.7" top="0.75" bottom="0.75" header="0.3" footer="0.3"/>
  <ignoredErrors>
    <ignoredError sqref="F9:F10" unlockedFormula="1"/>
  </ignoredErrors>
  <drawing r:id="rId1"/>
  <legacyDrawing r:id="rId2"/>
  <extLst>
    <ext xmlns:x14="http://schemas.microsoft.com/office/spreadsheetml/2009/9/main" uri="{CCE6A557-97BC-4b89-ADB6-D9C93CAAB3DF}">
      <x14:dataValidations xmlns:xm="http://schemas.microsoft.com/office/excel/2006/main" disablePrompts="1" count="1">
        <x14:dataValidation type="list" allowBlank="1" showInputMessage="1" showErrorMessage="1">
          <x14:formula1>
            <xm:f>'[4]DATOS ANÁLISIS'!#REF!</xm:f>
          </x14:formula1>
          <xm:sqref>C61</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21"/>
  <sheetViews>
    <sheetView topLeftCell="B1" zoomScaleNormal="100" workbookViewId="0">
      <selection activeCell="C114" sqref="C114"/>
    </sheetView>
  </sheetViews>
  <sheetFormatPr baseColWidth="10" defaultColWidth="11.42578125" defaultRowHeight="14.25" x14ac:dyDescent="0.25"/>
  <cols>
    <col min="1" max="1" width="6.7109375" style="294" customWidth="1"/>
    <col min="2" max="2" width="45.140625" style="294" customWidth="1"/>
    <col min="3" max="3" width="35" style="294" customWidth="1"/>
    <col min="4" max="4" width="38" style="294" customWidth="1"/>
    <col min="5" max="5" width="37.42578125" style="294" customWidth="1"/>
    <col min="6" max="6" width="29.140625" style="294" customWidth="1"/>
    <col min="7" max="7" width="40.28515625" style="294" customWidth="1"/>
    <col min="8" max="9" width="34.42578125" style="294" customWidth="1"/>
    <col min="10" max="10" width="31.7109375" style="294" customWidth="1"/>
    <col min="11" max="11" width="35.140625" style="294" customWidth="1"/>
    <col min="12" max="12" width="36.140625" style="294" customWidth="1"/>
    <col min="13" max="13" width="31.42578125" style="294" customWidth="1"/>
    <col min="14" max="14" width="30.5703125" style="294" customWidth="1"/>
    <col min="15" max="15" width="29.7109375" style="294" customWidth="1"/>
    <col min="16" max="16" width="11.42578125" style="294"/>
    <col min="17" max="17" width="16.42578125" style="294" customWidth="1"/>
    <col min="18" max="18" width="19.7109375" style="294" customWidth="1"/>
    <col min="19" max="16384" width="11.42578125" style="294"/>
  </cols>
  <sheetData>
    <row r="1" spans="1:17" x14ac:dyDescent="0.25">
      <c r="A1" s="1460"/>
      <c r="B1" s="1460"/>
      <c r="C1" s="1460"/>
      <c r="D1" s="1460"/>
      <c r="E1" s="1460"/>
      <c r="F1" s="1460"/>
      <c r="G1" s="1460"/>
      <c r="H1" s="1460"/>
      <c r="I1" s="1460"/>
    </row>
    <row r="2" spans="1:17" ht="59.25" customHeight="1" x14ac:dyDescent="0.25">
      <c r="A2" s="1668"/>
      <c r="B2" s="1668"/>
      <c r="C2" s="1808" t="s">
        <v>1787</v>
      </c>
      <c r="D2" s="1809"/>
      <c r="E2" s="1809"/>
      <c r="F2" s="1809"/>
      <c r="G2" s="1809"/>
      <c r="H2" s="1809"/>
      <c r="I2" s="1809"/>
      <c r="J2" s="1810"/>
      <c r="K2" s="1721" t="s">
        <v>1785</v>
      </c>
    </row>
    <row r="3" spans="1:17" ht="44.25" customHeight="1" x14ac:dyDescent="0.25">
      <c r="A3" s="1668"/>
      <c r="B3" s="1668"/>
      <c r="C3" s="1811"/>
      <c r="D3" s="1812"/>
      <c r="E3" s="1812"/>
      <c r="F3" s="1812"/>
      <c r="G3" s="1812"/>
      <c r="H3" s="1812"/>
      <c r="I3" s="1812"/>
      <c r="J3" s="1813"/>
      <c r="K3" s="1721"/>
    </row>
    <row r="4" spans="1:17" ht="15" customHeight="1" x14ac:dyDescent="0.25">
      <c r="A4" s="1807"/>
      <c r="B4" s="1807"/>
      <c r="C4" s="1807"/>
      <c r="D4" s="1807"/>
      <c r="E4" s="1807"/>
      <c r="F4" s="1807"/>
      <c r="G4" s="1807"/>
      <c r="H4" s="1807"/>
    </row>
    <row r="5" spans="1:17" ht="24.75" customHeight="1" x14ac:dyDescent="0.25">
      <c r="A5" s="1804" t="s">
        <v>1739</v>
      </c>
      <c r="B5" s="1804"/>
      <c r="C5" s="1804"/>
      <c r="D5" s="1804"/>
      <c r="E5" s="1804"/>
      <c r="F5" s="1804"/>
      <c r="G5" s="1804"/>
      <c r="H5" s="1804"/>
    </row>
    <row r="6" spans="1:17" ht="22.5" customHeight="1" x14ac:dyDescent="0.25">
      <c r="A6" s="1804" t="s">
        <v>1715</v>
      </c>
      <c r="B6" s="1804"/>
      <c r="C6" s="1804"/>
      <c r="D6" s="1804"/>
      <c r="E6" s="1804"/>
      <c r="F6" s="1804"/>
      <c r="G6" s="1804"/>
      <c r="H6" s="1804"/>
      <c r="I6" s="731"/>
      <c r="J6" s="731"/>
      <c r="K6" s="731"/>
      <c r="L6" s="731"/>
      <c r="M6" s="731"/>
      <c r="N6" s="731"/>
      <c r="O6" s="731"/>
      <c r="P6" s="731"/>
      <c r="Q6" s="731"/>
    </row>
    <row r="7" spans="1:17" ht="18" customHeight="1" x14ac:dyDescent="0.25">
      <c r="A7" s="1805"/>
      <c r="B7" s="1805"/>
      <c r="C7" s="1805"/>
      <c r="D7" s="1805"/>
      <c r="E7" s="1805"/>
      <c r="F7" s="1805"/>
      <c r="G7" s="1805"/>
      <c r="H7" s="1805"/>
    </row>
    <row r="8" spans="1:17" ht="25.5" customHeight="1" x14ac:dyDescent="0.25">
      <c r="A8" s="1801" t="s">
        <v>0</v>
      </c>
      <c r="B8" s="1801"/>
      <c r="C8" s="1390" t="str">
        <f>+'ANALÍTICA ESTADO SITUACIÓN F'!C6</f>
        <v xml:space="preserve">130000 - DIRECCIÓN SECTOR HÁBITAT Y AMBIENTE </v>
      </c>
      <c r="D8" s="1390"/>
      <c r="E8" s="732"/>
      <c r="F8" s="9" t="s">
        <v>792</v>
      </c>
      <c r="G8" s="1807"/>
      <c r="H8" s="1807"/>
    </row>
    <row r="9" spans="1:17" ht="36.75" customHeight="1" x14ac:dyDescent="0.25">
      <c r="A9" s="1806" t="s">
        <v>1281</v>
      </c>
      <c r="B9" s="1806"/>
      <c r="C9" s="1391" t="str">
        <f>+'ANALÍTICA ESTADO SITUACIÓN F'!C7</f>
        <v>208 - Caja de Vivienda Popular – CVP</v>
      </c>
      <c r="D9" s="1392"/>
      <c r="E9" s="732"/>
      <c r="F9" s="633" t="s">
        <v>2</v>
      </c>
      <c r="G9" s="1663">
        <f>+'ANALÍTICA ESTADO SITUACIÓN F'!H7</f>
        <v>2023</v>
      </c>
      <c r="H9" s="1663"/>
    </row>
    <row r="10" spans="1:17" ht="27" customHeight="1" x14ac:dyDescent="0.25">
      <c r="A10" s="1801" t="s">
        <v>1781</v>
      </c>
      <c r="B10" s="1801"/>
      <c r="C10" s="1802">
        <f>+'ANALÍTICA ESTADO SITUACIÓN F'!C8</f>
        <v>2025</v>
      </c>
      <c r="D10" s="1802"/>
      <c r="E10" s="303"/>
      <c r="F10" s="633" t="s">
        <v>3</v>
      </c>
      <c r="G10" s="1662">
        <f>+'ANALÍTICA ESTADO SITUACIÓN F'!H8</f>
        <v>55</v>
      </c>
      <c r="H10" s="1662"/>
    </row>
    <row r="11" spans="1:17" ht="29.25" customHeight="1" x14ac:dyDescent="0.25">
      <c r="A11" s="1801" t="s">
        <v>4</v>
      </c>
      <c r="B11" s="1801"/>
      <c r="C11" s="1393">
        <f>+'ANALÍTICA ESTADO SITUACIÓN F'!C9</f>
        <v>45580</v>
      </c>
      <c r="D11" s="1392"/>
      <c r="E11" s="733"/>
      <c r="F11" s="734" t="s">
        <v>1282</v>
      </c>
      <c r="G11" s="1664">
        <f>+'ANALÍTICA ESTADO SITUACIÓN F'!H9</f>
        <v>45580</v>
      </c>
      <c r="H11" s="1662"/>
    </row>
    <row r="12" spans="1:17" ht="13.5" customHeight="1" x14ac:dyDescent="0.25">
      <c r="A12" s="735"/>
      <c r="B12" s="732"/>
      <c r="F12" s="736"/>
      <c r="G12" s="737"/>
      <c r="H12" s="737"/>
    </row>
    <row r="13" spans="1:17" ht="12" customHeight="1" x14ac:dyDescent="0.25">
      <c r="A13" s="738"/>
      <c r="B13" s="739"/>
      <c r="C13" s="740"/>
      <c r="D13" s="740"/>
      <c r="E13" s="740"/>
      <c r="F13" s="738"/>
      <c r="G13" s="738"/>
      <c r="H13" s="741"/>
    </row>
    <row r="14" spans="1:17" ht="8.25" customHeight="1" x14ac:dyDescent="0.25">
      <c r="B14" s="742"/>
      <c r="C14" s="742"/>
      <c r="D14" s="742"/>
      <c r="E14" s="742"/>
      <c r="F14" s="742"/>
      <c r="G14" s="742"/>
      <c r="H14" s="742"/>
    </row>
    <row r="15" spans="1:17" ht="18" customHeight="1" x14ac:dyDescent="0.25">
      <c r="A15" s="742" t="s">
        <v>1283</v>
      </c>
      <c r="B15" s="742"/>
      <c r="C15" s="742"/>
      <c r="D15" s="742"/>
      <c r="E15" s="742"/>
      <c r="F15" s="742"/>
      <c r="G15" s="742"/>
      <c r="H15" s="742"/>
    </row>
    <row r="16" spans="1:17" ht="18" customHeight="1" x14ac:dyDescent="0.25">
      <c r="A16" s="735"/>
      <c r="B16" s="735"/>
      <c r="C16" s="743"/>
      <c r="D16" s="743"/>
      <c r="E16" s="743"/>
      <c r="F16" s="743"/>
      <c r="G16" s="734"/>
      <c r="H16" s="631"/>
    </row>
    <row r="17" spans="1:12" ht="29.25" customHeight="1" x14ac:dyDescent="0.25">
      <c r="A17" s="1800" t="s">
        <v>1732</v>
      </c>
      <c r="B17" s="1800"/>
      <c r="C17" s="1800"/>
      <c r="D17" s="1800"/>
      <c r="E17" s="1800"/>
      <c r="F17" s="1800"/>
      <c r="G17" s="1800"/>
      <c r="H17" s="1800"/>
      <c r="I17" s="1800"/>
      <c r="J17" s="1800"/>
      <c r="K17" s="1800"/>
    </row>
    <row r="18" spans="1:12" ht="18" customHeight="1" thickBot="1" x14ac:dyDescent="0.3">
      <c r="A18" s="744"/>
      <c r="B18" s="744"/>
      <c r="C18" s="744"/>
      <c r="D18" s="744"/>
      <c r="E18" s="744"/>
      <c r="F18" s="744"/>
      <c r="G18" s="744"/>
      <c r="H18" s="744"/>
      <c r="I18" s="744"/>
      <c r="J18" s="630"/>
      <c r="K18" s="630"/>
      <c r="L18" s="630"/>
    </row>
    <row r="19" spans="1:12" ht="18" customHeight="1" x14ac:dyDescent="0.25">
      <c r="A19" s="1803"/>
      <c r="B19" s="2332" t="s">
        <v>1284</v>
      </c>
      <c r="C19" s="2333"/>
      <c r="D19" s="2333"/>
      <c r="E19" s="2333"/>
      <c r="F19" s="2334"/>
      <c r="G19" s="2335" t="s">
        <v>209</v>
      </c>
      <c r="H19" s="2336" t="s">
        <v>1124</v>
      </c>
      <c r="I19" s="2336" t="s">
        <v>1125</v>
      </c>
      <c r="J19" s="2337" t="s">
        <v>1126</v>
      </c>
      <c r="K19" s="2338" t="s">
        <v>178</v>
      </c>
      <c r="L19" s="630"/>
    </row>
    <row r="20" spans="1:12" ht="57.75" customHeight="1" thickBot="1" x14ac:dyDescent="0.3">
      <c r="A20" s="1803"/>
      <c r="B20" s="2339" t="s">
        <v>465</v>
      </c>
      <c r="C20" s="2340" t="s">
        <v>1127</v>
      </c>
      <c r="D20" s="2340" t="s">
        <v>1128</v>
      </c>
      <c r="E20" s="2340" t="s">
        <v>1129</v>
      </c>
      <c r="F20" s="2341" t="s">
        <v>1130</v>
      </c>
      <c r="G20" s="2342"/>
      <c r="H20" s="2343"/>
      <c r="I20" s="2343"/>
      <c r="J20" s="2344"/>
      <c r="K20" s="2345"/>
      <c r="L20" s="630"/>
    </row>
    <row r="21" spans="1:12" ht="79.5" customHeight="1" x14ac:dyDescent="0.25">
      <c r="A21" s="745" t="s">
        <v>494</v>
      </c>
      <c r="B21" s="2346" t="s">
        <v>1285</v>
      </c>
      <c r="C21" s="2376" t="s">
        <v>1286</v>
      </c>
      <c r="D21" s="2372">
        <f>45000/5410000%</f>
        <v>0.83179297597042512</v>
      </c>
      <c r="E21" s="2348" t="s">
        <v>1135</v>
      </c>
      <c r="F21" s="2347" t="s">
        <v>1287</v>
      </c>
      <c r="G21" s="2348" t="s">
        <v>193</v>
      </c>
      <c r="H21" s="2349" t="s">
        <v>1288</v>
      </c>
      <c r="I21" s="2347" t="s">
        <v>1289</v>
      </c>
      <c r="J21" s="2350" t="s">
        <v>1290</v>
      </c>
      <c r="K21" s="2351">
        <f>IF(D21="","",D21)</f>
        <v>0.83179297597042512</v>
      </c>
    </row>
    <row r="22" spans="1:12" ht="72" customHeight="1" x14ac:dyDescent="0.25">
      <c r="A22" s="745" t="s">
        <v>494</v>
      </c>
      <c r="B22" s="2352" t="s">
        <v>1291</v>
      </c>
      <c r="C22" s="2377" t="s">
        <v>1292</v>
      </c>
      <c r="D22" s="2372">
        <f>(83462378626/88180338979)</f>
        <v>0.94649645932838189</v>
      </c>
      <c r="E22" s="2354" t="s">
        <v>1135</v>
      </c>
      <c r="F22" s="2353" t="s">
        <v>1293</v>
      </c>
      <c r="G22" s="2354" t="s">
        <v>193</v>
      </c>
      <c r="H22" s="2355"/>
      <c r="I22" s="2353" t="s">
        <v>1294</v>
      </c>
      <c r="J22" s="2356"/>
      <c r="K22" s="2357">
        <f t="shared" ref="K22:K29" si="0">IF(D22="","",D22)</f>
        <v>0.94649645932838189</v>
      </c>
    </row>
    <row r="23" spans="1:12" ht="75.75" customHeight="1" x14ac:dyDescent="0.25">
      <c r="A23" s="745" t="s">
        <v>494</v>
      </c>
      <c r="B23" s="2352" t="s">
        <v>1295</v>
      </c>
      <c r="C23" s="2377" t="s">
        <v>1296</v>
      </c>
      <c r="D23" s="2372">
        <f>(23462378626/28180338979)</f>
        <v>0.8325797160738263</v>
      </c>
      <c r="E23" s="2354" t="s">
        <v>1135</v>
      </c>
      <c r="F23" s="2353" t="s">
        <v>1297</v>
      </c>
      <c r="G23" s="2354" t="s">
        <v>193</v>
      </c>
      <c r="H23" s="2355"/>
      <c r="I23" s="2353" t="s">
        <v>1298</v>
      </c>
      <c r="J23" s="2356"/>
      <c r="K23" s="2357">
        <f t="shared" si="0"/>
        <v>0.8325797160738263</v>
      </c>
    </row>
    <row r="24" spans="1:12" ht="101.25" customHeight="1" x14ac:dyDescent="0.25">
      <c r="A24" s="745"/>
      <c r="B24" s="2358" t="s">
        <v>1299</v>
      </c>
      <c r="C24" s="2378" t="s">
        <v>1300</v>
      </c>
      <c r="D24" s="2372">
        <f>(23462378626/28180338979)</f>
        <v>0.8325797160738263</v>
      </c>
      <c r="E24" s="2360" t="s">
        <v>1135</v>
      </c>
      <c r="F24" s="2359" t="s">
        <v>1301</v>
      </c>
      <c r="G24" s="2354" t="s">
        <v>193</v>
      </c>
      <c r="H24" s="2355"/>
      <c r="I24" s="2353" t="s">
        <v>1302</v>
      </c>
      <c r="J24" s="2356"/>
      <c r="K24" s="2357">
        <f t="shared" si="0"/>
        <v>0.8325797160738263</v>
      </c>
    </row>
    <row r="25" spans="1:12" ht="82.5" customHeight="1" x14ac:dyDescent="0.25">
      <c r="A25" s="745"/>
      <c r="B25" s="2358" t="s">
        <v>1303</v>
      </c>
      <c r="C25" s="2378" t="s">
        <v>1304</v>
      </c>
      <c r="D25" s="2373"/>
      <c r="E25" s="2360" t="s">
        <v>1135</v>
      </c>
      <c r="F25" s="2359" t="s">
        <v>1305</v>
      </c>
      <c r="G25" s="2354" t="s">
        <v>193</v>
      </c>
      <c r="H25" s="2355"/>
      <c r="I25" s="2353" t="s">
        <v>1306</v>
      </c>
      <c r="J25" s="2356"/>
      <c r="K25" s="2357" t="str">
        <f t="shared" si="0"/>
        <v/>
      </c>
    </row>
    <row r="26" spans="1:12" ht="81.75" customHeight="1" x14ac:dyDescent="0.25">
      <c r="A26" s="745"/>
      <c r="B26" s="2358" t="s">
        <v>1307</v>
      </c>
      <c r="C26" s="2378" t="s">
        <v>1308</v>
      </c>
      <c r="D26" s="2372"/>
      <c r="E26" s="2360" t="s">
        <v>1135</v>
      </c>
      <c r="F26" s="2359" t="s">
        <v>1309</v>
      </c>
      <c r="G26" s="2354" t="s">
        <v>193</v>
      </c>
      <c r="H26" s="2355"/>
      <c r="I26" s="2353" t="s">
        <v>1310</v>
      </c>
      <c r="J26" s="2356"/>
      <c r="K26" s="2357" t="str">
        <f t="shared" si="0"/>
        <v/>
      </c>
    </row>
    <row r="27" spans="1:12" ht="78" customHeight="1" x14ac:dyDescent="0.25">
      <c r="A27" s="745"/>
      <c r="B27" s="2352" t="s">
        <v>1311</v>
      </c>
      <c r="C27" s="2377" t="s">
        <v>1312</v>
      </c>
      <c r="D27" s="2372">
        <f>(19546282282/188180338979)</f>
        <v>0.10386994936905321</v>
      </c>
      <c r="E27" s="2354" t="s">
        <v>1135</v>
      </c>
      <c r="F27" s="2353" t="s">
        <v>1313</v>
      </c>
      <c r="G27" s="2354" t="s">
        <v>193</v>
      </c>
      <c r="H27" s="2355"/>
      <c r="I27" s="2361" t="s">
        <v>1314</v>
      </c>
      <c r="J27" s="2356"/>
      <c r="K27" s="2357">
        <f>IF(D27="","",IF(D27&gt;0,IF(OR((1-D27)&gt;0.8,(1-D27)&gt;0.5),1-D27-0.1,1-D27),1+D27))</f>
        <v>0.79613005063094677</v>
      </c>
    </row>
    <row r="28" spans="1:12" ht="84" customHeight="1" x14ac:dyDescent="0.25">
      <c r="A28" s="745"/>
      <c r="B28" s="2352" t="s">
        <v>1315</v>
      </c>
      <c r="C28" s="2377" t="s">
        <v>1316</v>
      </c>
      <c r="D28" s="2372">
        <f>(6546282262/128180338979)</f>
        <v>5.1070876502148185E-2</v>
      </c>
      <c r="E28" s="2354" t="s">
        <v>1135</v>
      </c>
      <c r="F28" s="2353" t="s">
        <v>1313</v>
      </c>
      <c r="G28" s="2354" t="s">
        <v>193</v>
      </c>
      <c r="H28" s="2355"/>
      <c r="I28" s="2362"/>
      <c r="J28" s="2356"/>
      <c r="K28" s="2357">
        <f>IF(D28="","",IF(D28&gt;0,IF(OR((1-D28)&gt;0.8,(1-D28)&gt;0.5),1-D28-0.1,1-D28),1+D28))</f>
        <v>0.84892912349785188</v>
      </c>
      <c r="L28" s="746"/>
    </row>
    <row r="29" spans="1:12" ht="76.5" x14ac:dyDescent="0.25">
      <c r="A29" s="745"/>
      <c r="B29" s="2352" t="s">
        <v>1317</v>
      </c>
      <c r="C29" s="2377" t="s">
        <v>1318</v>
      </c>
      <c r="D29" s="2372">
        <f>(23462378626/28180338979)</f>
        <v>0.8325797160738263</v>
      </c>
      <c r="E29" s="2354" t="s">
        <v>1135</v>
      </c>
      <c r="F29" s="2353" t="s">
        <v>1319</v>
      </c>
      <c r="G29" s="2354" t="s">
        <v>193</v>
      </c>
      <c r="H29" s="2355"/>
      <c r="I29" s="2353" t="s">
        <v>1320</v>
      </c>
      <c r="J29" s="2356"/>
      <c r="K29" s="2357">
        <f t="shared" si="0"/>
        <v>0.8325797160738263</v>
      </c>
    </row>
    <row r="30" spans="1:12" ht="103.5" customHeight="1" thickBot="1" x14ac:dyDescent="0.3">
      <c r="A30" s="745"/>
      <c r="B30" s="2363" t="s">
        <v>1321</v>
      </c>
      <c r="C30" s="2379" t="s">
        <v>1322</v>
      </c>
      <c r="D30" s="2374">
        <f>(29546223626/228180338979)</f>
        <v>0.12948628158852551</v>
      </c>
      <c r="E30" s="2365" t="s">
        <v>1135</v>
      </c>
      <c r="F30" s="2364" t="s">
        <v>1323</v>
      </c>
      <c r="G30" s="2365" t="s">
        <v>193</v>
      </c>
      <c r="H30" s="2366"/>
      <c r="I30" s="2364" t="s">
        <v>1324</v>
      </c>
      <c r="J30" s="2367"/>
      <c r="K30" s="2368">
        <f>IF(D30="","",IF(D30&gt;0,1-D30,1+D30))</f>
        <v>0.87051371841147451</v>
      </c>
    </row>
    <row r="31" spans="1:12" ht="103.5" customHeight="1" thickBot="1" x14ac:dyDescent="0.3">
      <c r="A31" s="747"/>
      <c r="B31" s="2346" t="s">
        <v>1325</v>
      </c>
      <c r="C31" s="2380" t="s">
        <v>1326</v>
      </c>
      <c r="D31" s="2375">
        <f>1521000/2235411</f>
        <v>0.68041179004666252</v>
      </c>
      <c r="E31" s="2348" t="s">
        <v>1135</v>
      </c>
      <c r="F31" s="2369" t="s">
        <v>1327</v>
      </c>
      <c r="G31" s="2348" t="s">
        <v>193</v>
      </c>
      <c r="H31" s="2370" t="s">
        <v>1328</v>
      </c>
      <c r="I31" s="2371" t="s">
        <v>1329</v>
      </c>
      <c r="J31" s="2371" t="s">
        <v>1330</v>
      </c>
      <c r="K31" s="2368">
        <f>IF(D31="","",D31)</f>
        <v>0.68041179004666252</v>
      </c>
    </row>
    <row r="32" spans="1:12" ht="34.5" customHeight="1" thickBot="1" x14ac:dyDescent="0.3">
      <c r="A32" s="747"/>
      <c r="B32" s="748"/>
      <c r="C32" s="749"/>
      <c r="D32" s="750"/>
      <c r="E32" s="751"/>
      <c r="F32" s="752"/>
      <c r="G32" s="753"/>
      <c r="H32" s="754"/>
      <c r="I32" s="749"/>
      <c r="J32" s="751"/>
      <c r="K32" s="755"/>
    </row>
    <row r="33" spans="1:15" ht="103.5" customHeight="1" x14ac:dyDescent="0.25">
      <c r="A33" s="756"/>
      <c r="B33" s="1791" t="s">
        <v>1331</v>
      </c>
      <c r="C33" s="1792"/>
      <c r="D33" s="1792"/>
      <c r="E33" s="1793"/>
      <c r="F33" s="757"/>
      <c r="G33" s="758"/>
      <c r="H33" s="759"/>
      <c r="I33" s="760"/>
      <c r="J33" s="958"/>
      <c r="K33" s="761"/>
      <c r="L33" s="762"/>
      <c r="M33" s="762"/>
      <c r="N33" s="763"/>
    </row>
    <row r="34" spans="1:15" ht="32.25" customHeight="1" x14ac:dyDescent="0.25">
      <c r="A34" s="764"/>
      <c r="B34" s="1794" t="s">
        <v>1332</v>
      </c>
      <c r="C34" s="1794"/>
      <c r="D34" s="749"/>
      <c r="E34" s="749"/>
      <c r="F34" s="765"/>
      <c r="G34" s="753"/>
      <c r="H34" s="766"/>
      <c r="I34" s="753"/>
      <c r="J34" s="751"/>
      <c r="K34" s="767"/>
      <c r="N34" s="768"/>
    </row>
    <row r="35" spans="1:15" ht="44.25" customHeight="1" x14ac:dyDescent="0.25">
      <c r="A35" s="1795" t="s">
        <v>1733</v>
      </c>
      <c r="B35" s="1796"/>
      <c r="C35" s="1796"/>
      <c r="D35" s="1796"/>
      <c r="E35" s="1796"/>
      <c r="F35" s="1796"/>
      <c r="G35" s="1796"/>
      <c r="H35" s="1796"/>
      <c r="I35" s="1796"/>
      <c r="J35" s="1796"/>
      <c r="K35" s="1796"/>
      <c r="L35" s="1796"/>
      <c r="M35" s="1796"/>
      <c r="N35" s="1797"/>
    </row>
    <row r="36" spans="1:15" ht="16.5" customHeight="1" thickBot="1" x14ac:dyDescent="0.3">
      <c r="A36" s="769"/>
      <c r="B36" s="735"/>
      <c r="C36" s="743"/>
      <c r="D36" s="743"/>
      <c r="E36" s="743"/>
      <c r="F36" s="743"/>
      <c r="G36" s="734"/>
      <c r="H36" s="631"/>
      <c r="N36" s="768"/>
    </row>
    <row r="37" spans="1:15" ht="81.75" customHeight="1" thickBot="1" x14ac:dyDescent="0.3">
      <c r="A37" s="770" t="s">
        <v>1745</v>
      </c>
      <c r="B37" s="771" t="s">
        <v>1333</v>
      </c>
      <c r="C37" s="771" t="s">
        <v>1334</v>
      </c>
      <c r="D37" s="771" t="s">
        <v>1335</v>
      </c>
      <c r="E37" s="1798" t="s">
        <v>1336</v>
      </c>
      <c r="F37" s="1799"/>
      <c r="G37" s="771" t="s">
        <v>1337</v>
      </c>
      <c r="H37" s="771" t="s">
        <v>1338</v>
      </c>
      <c r="I37" s="771" t="s">
        <v>1339</v>
      </c>
      <c r="J37" s="771" t="s">
        <v>1340</v>
      </c>
      <c r="K37" s="771" t="s">
        <v>1341</v>
      </c>
      <c r="L37" s="771" t="s">
        <v>1342</v>
      </c>
      <c r="M37" s="771" t="s">
        <v>1343</v>
      </c>
      <c r="N37" s="772" t="s">
        <v>1344</v>
      </c>
      <c r="O37" s="773" t="s">
        <v>1345</v>
      </c>
    </row>
    <row r="38" spans="1:15" s="630" customFormat="1" ht="87" customHeight="1" thickBot="1" x14ac:dyDescent="0.3">
      <c r="A38" s="2381">
        <v>1</v>
      </c>
      <c r="B38" s="2386" t="s">
        <v>1346</v>
      </c>
      <c r="C38" s="2387" t="s">
        <v>1458</v>
      </c>
      <c r="D38" s="2388" t="s">
        <v>823</v>
      </c>
      <c r="E38" s="2389" t="s">
        <v>1865</v>
      </c>
      <c r="F38" s="2389"/>
      <c r="G38" s="2387" t="s">
        <v>1471</v>
      </c>
      <c r="H38" s="2388" t="s">
        <v>1376</v>
      </c>
      <c r="I38" s="2390"/>
      <c r="J38" s="957" t="str">
        <f>_xlfn.IFNA(IF(VLOOKUP(D38,'ANALÍTICA PRESUPUESTAL'!$B$18:$B$96,1,)="","No se audito",IF(I38/VLOOKUP(D38,'ANALÍTICA PRESUPUESTAL'!$B$18:$C$96,2,)*100&gt;0, I38/VLOOKUP(D38,'ANALÍTICA PRESUPUESTAL'!$B$18:$C$96,2,),"")),"")</f>
        <v/>
      </c>
      <c r="K38" s="2400" t="s">
        <v>1351</v>
      </c>
      <c r="L38" s="2404"/>
      <c r="M38" s="2388" t="s">
        <v>944</v>
      </c>
      <c r="N38" s="2405" t="s">
        <v>1352</v>
      </c>
      <c r="O38" s="2406"/>
    </row>
    <row r="39" spans="1:15" s="630" customFormat="1" ht="115.5" customHeight="1" thickBot="1" x14ac:dyDescent="0.3">
      <c r="A39" s="2382">
        <v>2</v>
      </c>
      <c r="B39" s="2391" t="s">
        <v>1353</v>
      </c>
      <c r="C39" s="2387"/>
      <c r="D39" s="2388"/>
      <c r="E39" s="2389" t="s">
        <v>1746</v>
      </c>
      <c r="F39" s="2389"/>
      <c r="G39" s="2387" t="s">
        <v>1349</v>
      </c>
      <c r="H39" s="2388" t="s">
        <v>1376</v>
      </c>
      <c r="I39" s="2392"/>
      <c r="J39" s="957" t="str">
        <f>_xlfn.IFNA(IF(VLOOKUP(D39,'ANALÍTICA PRESUPUESTAL'!$B$18:$B$96,1,)="","No se audito",IF(I39/VLOOKUP(D39,'ANALÍTICA PRESUPUESTAL'!$B$18:$C$96,2,)*100&gt;0, I39/VLOOKUP(D39,'ANALÍTICA PRESUPUESTAL'!$B$18:$C$96,2,),"")),"")</f>
        <v/>
      </c>
      <c r="K39" s="2401" t="s">
        <v>1356</v>
      </c>
      <c r="L39" s="2407"/>
      <c r="M39" s="2388" t="s">
        <v>1444</v>
      </c>
      <c r="N39" s="2408" t="s">
        <v>1357</v>
      </c>
      <c r="O39" s="2409"/>
    </row>
    <row r="40" spans="1:15" s="630" customFormat="1" ht="129" customHeight="1" thickBot="1" x14ac:dyDescent="0.3">
      <c r="A40" s="2383">
        <v>3</v>
      </c>
      <c r="B40" s="2393" t="s">
        <v>1358</v>
      </c>
      <c r="C40" s="2387"/>
      <c r="D40" s="2388"/>
      <c r="E40" s="2389" t="s">
        <v>1348</v>
      </c>
      <c r="F40" s="2389"/>
      <c r="G40" s="2387" t="s">
        <v>1349</v>
      </c>
      <c r="H40" s="2388" t="s">
        <v>1463</v>
      </c>
      <c r="I40" s="2390"/>
      <c r="J40" s="957" t="str">
        <f>_xlfn.IFNA(IF(VLOOKUP(D40,'ANALÍTICA PRESUPUESTAL'!$B$18:$B$96,1,)="","No se audito",IF(I40/VLOOKUP(D40,'ANALÍTICA PRESUPUESTAL'!$B$18:$C$96,2,)*100&gt;0, I40/VLOOKUP(D40,'ANALÍTICA PRESUPUESTAL'!$B$18:$C$96,2,),"")),"")</f>
        <v/>
      </c>
      <c r="K40" s="2402" t="s">
        <v>1361</v>
      </c>
      <c r="L40" s="2410"/>
      <c r="M40" s="2388" t="s">
        <v>1444</v>
      </c>
      <c r="N40" s="2411" t="s">
        <v>1363</v>
      </c>
      <c r="O40" s="2412"/>
    </row>
    <row r="41" spans="1:15" s="630" customFormat="1" ht="148.5" customHeight="1" thickBot="1" x14ac:dyDescent="0.3">
      <c r="A41" s="2381">
        <v>4</v>
      </c>
      <c r="B41" s="2394" t="s">
        <v>1364</v>
      </c>
      <c r="C41" s="2387"/>
      <c r="D41" s="2388"/>
      <c r="E41" s="2389" t="s">
        <v>1348</v>
      </c>
      <c r="F41" s="2389"/>
      <c r="G41" s="2387" t="s">
        <v>1349</v>
      </c>
      <c r="H41" s="2388" t="s">
        <v>1366</v>
      </c>
      <c r="I41" s="2390"/>
      <c r="J41" s="957" t="str">
        <f>_xlfn.IFNA(IF(VLOOKUP(D41,'ANALÍTICA PRESUPUESTAL'!$B$18:$B$96,1,)="","No se audito",IF(I41/VLOOKUP(D41,'ANALÍTICA PRESUPUESTAL'!$B$18:$C$96,2,)*100&gt;0, I41/VLOOKUP(D41,'ANALÍTICA PRESUPUESTAL'!$B$18:$C$96,2,),"")),"")</f>
        <v/>
      </c>
      <c r="K41" s="2400" t="s">
        <v>1367</v>
      </c>
      <c r="L41" s="2404"/>
      <c r="M41" s="2388" t="s">
        <v>1444</v>
      </c>
      <c r="N41" s="2413" t="s">
        <v>1368</v>
      </c>
      <c r="O41" s="2409"/>
    </row>
    <row r="42" spans="1:15" s="630" customFormat="1" ht="77.25" customHeight="1" thickBot="1" x14ac:dyDescent="0.3">
      <c r="A42" s="2383">
        <v>5</v>
      </c>
      <c r="B42" s="2393" t="s">
        <v>1369</v>
      </c>
      <c r="C42" s="2387"/>
      <c r="D42" s="2388"/>
      <c r="E42" s="2389" t="s">
        <v>1348</v>
      </c>
      <c r="F42" s="2389"/>
      <c r="G42" s="2387" t="s">
        <v>1349</v>
      </c>
      <c r="H42" s="2388" t="s">
        <v>1478</v>
      </c>
      <c r="I42" s="2395"/>
      <c r="J42" s="957" t="str">
        <f>_xlfn.IFNA(IF(VLOOKUP(D42,'ANALÍTICA PRESUPUESTAL'!$B$18:$B$96,1,)="","No se audito",IF(I42/VLOOKUP(D42,'ANALÍTICA PRESUPUESTAL'!$B$18:$C$96,2,)*100&gt;0, I42/VLOOKUP(D42,'ANALÍTICA PRESUPUESTAL'!$B$18:$C$96,2,),"")),"")</f>
        <v/>
      </c>
      <c r="K42" s="2402" t="s">
        <v>1371</v>
      </c>
      <c r="L42" s="2410"/>
      <c r="M42" s="2388" t="s">
        <v>1444</v>
      </c>
      <c r="N42" s="2411" t="s">
        <v>1372</v>
      </c>
      <c r="O42" s="2412"/>
    </row>
    <row r="43" spans="1:15" s="630" customFormat="1" ht="69" customHeight="1" thickBot="1" x14ac:dyDescent="0.3">
      <c r="A43" s="2384">
        <v>6</v>
      </c>
      <c r="B43" s="2396" t="s">
        <v>1373</v>
      </c>
      <c r="C43" s="2387"/>
      <c r="D43" s="2388"/>
      <c r="E43" s="2389" t="s">
        <v>1348</v>
      </c>
      <c r="F43" s="2389"/>
      <c r="G43" s="2387" t="s">
        <v>1349</v>
      </c>
      <c r="H43" s="2388" t="s">
        <v>1350</v>
      </c>
      <c r="I43" s="2397"/>
      <c r="J43" s="957" t="str">
        <f>_xlfn.IFNA(IF(VLOOKUP(D43,'ANALÍTICA PRESUPUESTAL'!$B$18:$B$96,1,)="","No se audito",IF(I43/VLOOKUP(D43,'ANALÍTICA PRESUPUESTAL'!$B$18:$C$96,2,)*100&gt;0, I43/VLOOKUP(D43,'ANALÍTICA PRESUPUESTAL'!$B$18:$C$96,2,),"")),"")</f>
        <v/>
      </c>
      <c r="K43" s="2403" t="s">
        <v>1377</v>
      </c>
      <c r="L43" s="2414"/>
      <c r="M43" s="2388" t="s">
        <v>1444</v>
      </c>
      <c r="N43" s="2415">
        <v>3</v>
      </c>
      <c r="O43" s="2416"/>
    </row>
    <row r="44" spans="1:15" s="630" customFormat="1" ht="40.15" customHeight="1" thickBot="1" x14ac:dyDescent="0.3">
      <c r="A44" s="2381">
        <v>7</v>
      </c>
      <c r="B44" s="2398" t="s">
        <v>1373</v>
      </c>
      <c r="C44" s="2387"/>
      <c r="D44" s="2388"/>
      <c r="E44" s="2389" t="s">
        <v>1348</v>
      </c>
      <c r="F44" s="2389"/>
      <c r="G44" s="2387" t="s">
        <v>1349</v>
      </c>
      <c r="H44" s="2388" t="s">
        <v>1473</v>
      </c>
      <c r="I44" s="2390"/>
      <c r="J44" s="957" t="str">
        <f>_xlfn.IFNA(IF(VLOOKUP(D44,'ANALÍTICA PRESUPUESTAL'!$B$18:$B$96,1,)="","No se audito",IF(I44/VLOOKUP(D44,'ANALÍTICA PRESUPUESTAL'!$B$18:$C$96,2,)*100&gt;0, I44/VLOOKUP(D44,'ANALÍTICA PRESUPUESTAL'!$B$18:$C$96,2,),"")),"")</f>
        <v/>
      </c>
      <c r="K44" s="2400" t="s">
        <v>674</v>
      </c>
      <c r="L44" s="2404"/>
      <c r="M44" s="2388" t="s">
        <v>1444</v>
      </c>
      <c r="N44" s="2413">
        <v>4</v>
      </c>
      <c r="O44" s="2409"/>
    </row>
    <row r="45" spans="1:15" s="630" customFormat="1" ht="51.4" customHeight="1" thickBot="1" x14ac:dyDescent="0.3">
      <c r="A45" s="2383">
        <v>8</v>
      </c>
      <c r="B45" s="2399" t="s">
        <v>1373</v>
      </c>
      <c r="C45" s="2387"/>
      <c r="D45" s="2388"/>
      <c r="E45" s="2389" t="s">
        <v>1348</v>
      </c>
      <c r="F45" s="2389"/>
      <c r="G45" s="2387" t="s">
        <v>1349</v>
      </c>
      <c r="H45" s="2388" t="s">
        <v>1463</v>
      </c>
      <c r="I45" s="2392"/>
      <c r="J45" s="957" t="str">
        <f>_xlfn.IFNA(IF(VLOOKUP(D45,'ANALÍTICA PRESUPUESTAL'!$B$18:$B$96,1,)="","No se audito",IF(I45/VLOOKUP(D45,'ANALÍTICA PRESUPUESTAL'!$B$18:$C$96,2,)*100&gt;0, I45/VLOOKUP(D45,'ANALÍTICA PRESUPUESTAL'!$B$18:$C$96,2,),"")),"")</f>
        <v/>
      </c>
      <c r="K45" s="2402" t="s">
        <v>1385</v>
      </c>
      <c r="L45" s="2410"/>
      <c r="M45" s="2388" t="s">
        <v>1444</v>
      </c>
      <c r="N45" s="2411">
        <v>5</v>
      </c>
      <c r="O45" s="2412"/>
    </row>
    <row r="46" spans="1:15" s="630" customFormat="1" ht="21" customHeight="1" thickBot="1" x14ac:dyDescent="0.3">
      <c r="A46" s="2381">
        <v>9</v>
      </c>
      <c r="B46" s="2398"/>
      <c r="C46" s="2387"/>
      <c r="D46" s="2388"/>
      <c r="E46" s="2389"/>
      <c r="F46" s="2389"/>
      <c r="G46" s="2387"/>
      <c r="H46" s="2388"/>
      <c r="I46" s="2390"/>
      <c r="J46" s="957" t="str">
        <f>_xlfn.IFNA(IF(VLOOKUP(D46,'ANALÍTICA PRESUPUESTAL'!$B$18:$B$96,1,)="","No se audito",IF(I46/VLOOKUP(D46,'ANALÍTICA PRESUPUESTAL'!$B$18:$C$96,2,)*100&gt;0, I46/VLOOKUP(D46,'ANALÍTICA PRESUPUESTAL'!$B$18:$C$96,2,),"")),"")</f>
        <v/>
      </c>
      <c r="K46" s="2400"/>
      <c r="L46" s="2404"/>
      <c r="M46" s="2388"/>
      <c r="N46" s="2413"/>
      <c r="O46" s="2409"/>
    </row>
    <row r="47" spans="1:15" s="630" customFormat="1" ht="21" customHeight="1" thickBot="1" x14ac:dyDescent="0.3">
      <c r="A47" s="2383">
        <v>10</v>
      </c>
      <c r="B47" s="2399"/>
      <c r="C47" s="2387"/>
      <c r="D47" s="2388"/>
      <c r="E47" s="2389"/>
      <c r="F47" s="2389"/>
      <c r="G47" s="2387"/>
      <c r="H47" s="2388"/>
      <c r="I47" s="2392"/>
      <c r="J47" s="957" t="str">
        <f>_xlfn.IFNA(IF(VLOOKUP(D47,'ANALÍTICA PRESUPUESTAL'!$B$18:$B$96,1,)="","No se audito",IF(I47/VLOOKUP(D47,'ANALÍTICA PRESUPUESTAL'!$B$18:$C$96,2,)*100&gt;0, I47/VLOOKUP(D47,'ANALÍTICA PRESUPUESTAL'!$B$18:$C$96,2,),"")),"")</f>
        <v/>
      </c>
      <c r="K47" s="2402"/>
      <c r="L47" s="2410"/>
      <c r="M47" s="2388"/>
      <c r="N47" s="2411"/>
      <c r="O47" s="2412"/>
    </row>
    <row r="48" spans="1:15" s="630" customFormat="1" ht="21" customHeight="1" thickBot="1" x14ac:dyDescent="0.3">
      <c r="A48" s="2381">
        <v>11</v>
      </c>
      <c r="B48" s="2398"/>
      <c r="C48" s="2387"/>
      <c r="D48" s="2388"/>
      <c r="E48" s="2389"/>
      <c r="F48" s="2389"/>
      <c r="G48" s="2387"/>
      <c r="H48" s="2388"/>
      <c r="I48" s="2390"/>
      <c r="J48" s="957" t="str">
        <f>_xlfn.IFNA(IF(VLOOKUP(D48,'ANALÍTICA PRESUPUESTAL'!$B$18:$B$96,1,)="","No se audito",IF(I48/VLOOKUP(D48,'ANALÍTICA PRESUPUESTAL'!$B$18:$C$96,2,)*100&gt;0, I48/VLOOKUP(D48,'ANALÍTICA PRESUPUESTAL'!$B$18:$C$96,2,),"")),"")</f>
        <v/>
      </c>
      <c r="K48" s="2400"/>
      <c r="L48" s="2404"/>
      <c r="M48" s="2388"/>
      <c r="N48" s="2413"/>
      <c r="O48" s="2409"/>
    </row>
    <row r="49" spans="1:15" s="630" customFormat="1" ht="21" customHeight="1" thickBot="1" x14ac:dyDescent="0.3">
      <c r="A49" s="2383">
        <v>12</v>
      </c>
      <c r="B49" s="2399"/>
      <c r="C49" s="2387"/>
      <c r="D49" s="2388"/>
      <c r="E49" s="2389"/>
      <c r="F49" s="2389"/>
      <c r="G49" s="2387"/>
      <c r="H49" s="2388"/>
      <c r="I49" s="2392"/>
      <c r="J49" s="957" t="str">
        <f>_xlfn.IFNA(IF(VLOOKUP(D49,'ANALÍTICA PRESUPUESTAL'!$B$18:$B$96,1,)="","No se audito",IF(I49/VLOOKUP(D49,'ANALÍTICA PRESUPUESTAL'!$B$18:$C$96,2,)*100&gt;0, I49/VLOOKUP(D49,'ANALÍTICA PRESUPUESTAL'!$B$18:$C$96,2,),"")),"")</f>
        <v/>
      </c>
      <c r="K49" s="2402"/>
      <c r="L49" s="2410"/>
      <c r="M49" s="2388"/>
      <c r="N49" s="2411"/>
      <c r="O49" s="2412"/>
    </row>
    <row r="50" spans="1:15" s="630" customFormat="1" ht="21" customHeight="1" thickBot="1" x14ac:dyDescent="0.3">
      <c r="A50" s="2381">
        <v>13</v>
      </c>
      <c r="B50" s="2398"/>
      <c r="C50" s="2387"/>
      <c r="D50" s="2388"/>
      <c r="E50" s="2389"/>
      <c r="F50" s="2389"/>
      <c r="G50" s="2387"/>
      <c r="H50" s="2388"/>
      <c r="I50" s="2390"/>
      <c r="J50" s="957" t="str">
        <f>_xlfn.IFNA(IF(VLOOKUP(D50,'ANALÍTICA PRESUPUESTAL'!$B$18:$B$96,1,)="","No se audito",IF(I50/VLOOKUP(D50,'ANALÍTICA PRESUPUESTAL'!$B$18:$C$96,2,)*100&gt;0, I50/VLOOKUP(D50,'ANALÍTICA PRESUPUESTAL'!$B$18:$C$96,2,),"")),"")</f>
        <v/>
      </c>
      <c r="K50" s="2400"/>
      <c r="L50" s="2404"/>
      <c r="M50" s="2388"/>
      <c r="N50" s="2413"/>
      <c r="O50" s="2409"/>
    </row>
    <row r="51" spans="1:15" s="630" customFormat="1" ht="21" customHeight="1" thickBot="1" x14ac:dyDescent="0.3">
      <c r="A51" s="2383">
        <v>14</v>
      </c>
      <c r="B51" s="2399"/>
      <c r="C51" s="2387"/>
      <c r="D51" s="2388"/>
      <c r="E51" s="2389"/>
      <c r="F51" s="2389"/>
      <c r="G51" s="2387"/>
      <c r="H51" s="2388"/>
      <c r="I51" s="2392"/>
      <c r="J51" s="957" t="str">
        <f>_xlfn.IFNA(IF(VLOOKUP(D51,'ANALÍTICA PRESUPUESTAL'!$B$18:$B$96,1,)="","No se audito",IF(I51/VLOOKUP(D51,'ANALÍTICA PRESUPUESTAL'!$B$18:$C$96,2,)*100&gt;0, I51/VLOOKUP(D51,'ANALÍTICA PRESUPUESTAL'!$B$18:$C$96,2,),"")),"")</f>
        <v/>
      </c>
      <c r="K51" s="2402"/>
      <c r="L51" s="2410"/>
      <c r="M51" s="2388"/>
      <c r="N51" s="2411"/>
      <c r="O51" s="2412"/>
    </row>
    <row r="52" spans="1:15" s="630" customFormat="1" ht="21" customHeight="1" thickBot="1" x14ac:dyDescent="0.3">
      <c r="A52" s="2381">
        <v>15</v>
      </c>
      <c r="B52" s="2398"/>
      <c r="C52" s="2387"/>
      <c r="D52" s="2388"/>
      <c r="E52" s="2389"/>
      <c r="F52" s="2389"/>
      <c r="G52" s="2387"/>
      <c r="H52" s="2388"/>
      <c r="I52" s="2390"/>
      <c r="J52" s="957" t="str">
        <f>_xlfn.IFNA(IF(VLOOKUP(D52,'ANALÍTICA PRESUPUESTAL'!$B$18:$B$96,1,)="","No se audito",IF(I52/VLOOKUP(D52,'ANALÍTICA PRESUPUESTAL'!$B$18:$C$96,2,)*100&gt;0, I52/VLOOKUP(D52,'ANALÍTICA PRESUPUESTAL'!$B$18:$C$96,2,),"")),"")</f>
        <v/>
      </c>
      <c r="K52" s="2400"/>
      <c r="L52" s="2404"/>
      <c r="M52" s="2388"/>
      <c r="N52" s="2413"/>
      <c r="O52" s="2409"/>
    </row>
    <row r="53" spans="1:15" s="630" customFormat="1" ht="21" customHeight="1" thickBot="1" x14ac:dyDescent="0.3">
      <c r="A53" s="2385" t="s">
        <v>1386</v>
      </c>
      <c r="B53" s="2398"/>
      <c r="C53" s="2387"/>
      <c r="D53" s="2388"/>
      <c r="E53" s="2389"/>
      <c r="F53" s="2389"/>
      <c r="G53" s="2387"/>
      <c r="H53" s="2388"/>
      <c r="I53" s="2390"/>
      <c r="J53" s="957" t="str">
        <f>_xlfn.IFNA(IF(VLOOKUP(D53,'ANALÍTICA PRESUPUESTAL'!$B$18:$B$96,1,)="","No se audito",IF(I53/VLOOKUP(D53,'ANALÍTICA PRESUPUESTAL'!$B$18:$C$96,2,)*100&gt;0, I53/VLOOKUP(D53,'ANALÍTICA PRESUPUESTAL'!$B$18:$C$96,2,),"")),"")</f>
        <v/>
      </c>
      <c r="K53" s="2400"/>
      <c r="L53" s="2404"/>
      <c r="M53" s="2388"/>
      <c r="N53" s="2413"/>
      <c r="O53" s="2409"/>
    </row>
    <row r="54" spans="1:15" ht="27" customHeight="1" thickBot="1" x14ac:dyDescent="0.3">
      <c r="A54" s="1789" t="s">
        <v>1387</v>
      </c>
      <c r="B54" s="1789"/>
      <c r="C54" s="1789"/>
      <c r="D54" s="1789"/>
      <c r="E54" s="1789"/>
      <c r="F54" s="1789"/>
      <c r="G54" s="1789"/>
      <c r="H54" s="1790"/>
      <c r="I54" s="774">
        <f>SUM(I38:I53)</f>
        <v>0</v>
      </c>
      <c r="J54" s="775"/>
      <c r="K54" s="776"/>
      <c r="L54" s="777"/>
      <c r="M54" s="733"/>
      <c r="N54" s="775"/>
      <c r="O54" s="775"/>
    </row>
    <row r="55" spans="1:15" s="2418" customFormat="1" ht="27" customHeight="1" x14ac:dyDescent="0.25">
      <c r="A55" s="2417" t="s">
        <v>1388</v>
      </c>
      <c r="L55" s="2419"/>
      <c r="M55" s="2419"/>
      <c r="N55" s="2419"/>
      <c r="O55" s="2419"/>
    </row>
    <row r="56" spans="1:15" s="2418" customFormat="1" ht="21" customHeight="1" x14ac:dyDescent="0.25">
      <c r="L56" s="2420"/>
    </row>
    <row r="57" spans="1:15" s="2418" customFormat="1" ht="39" customHeight="1" x14ac:dyDescent="0.25">
      <c r="A57" s="2421" t="s">
        <v>1729</v>
      </c>
      <c r="B57" s="2421"/>
      <c r="C57" s="2421"/>
      <c r="D57" s="2421"/>
      <c r="E57" s="2421"/>
      <c r="F57" s="2421"/>
      <c r="G57" s="2421"/>
      <c r="H57" s="2421"/>
      <c r="I57" s="2421"/>
    </row>
    <row r="58" spans="1:15" s="2418" customFormat="1" ht="27.75" customHeight="1" x14ac:dyDescent="0.25">
      <c r="A58" s="2421"/>
      <c r="B58" s="2421"/>
      <c r="C58" s="2421"/>
      <c r="D58" s="2421"/>
      <c r="E58" s="2421"/>
      <c r="F58" s="2421"/>
      <c r="G58" s="2421"/>
      <c r="H58" s="2421"/>
      <c r="I58" s="2421"/>
    </row>
    <row r="59" spans="1:15" s="2418" customFormat="1" ht="34.5" customHeight="1" x14ac:dyDescent="0.25">
      <c r="A59" s="2421"/>
      <c r="B59" s="2421"/>
      <c r="C59" s="2421"/>
      <c r="D59" s="2421"/>
      <c r="E59" s="2421"/>
      <c r="F59" s="2421"/>
      <c r="G59" s="2421"/>
      <c r="H59" s="2421"/>
      <c r="I59" s="2421"/>
    </row>
    <row r="60" spans="1:15" s="2418" customFormat="1" x14ac:dyDescent="0.25">
      <c r="A60" s="2421"/>
      <c r="B60" s="2421"/>
      <c r="C60" s="2421"/>
      <c r="D60" s="2421"/>
      <c r="E60" s="2421"/>
      <c r="F60" s="2421"/>
      <c r="G60" s="2421"/>
      <c r="H60" s="2421"/>
      <c r="I60" s="2421"/>
    </row>
    <row r="61" spans="1:15" s="2418" customFormat="1" x14ac:dyDescent="0.25">
      <c r="A61" s="2421"/>
      <c r="B61" s="2421"/>
      <c r="C61" s="2421"/>
      <c r="D61" s="2421"/>
      <c r="E61" s="2421"/>
      <c r="F61" s="2421"/>
      <c r="G61" s="2421"/>
      <c r="H61" s="2421"/>
      <c r="I61" s="2421"/>
    </row>
    <row r="62" spans="1:15" s="2418" customFormat="1" ht="43.5" customHeight="1" x14ac:dyDescent="0.25">
      <c r="A62" s="2421"/>
      <c r="B62" s="2421"/>
      <c r="C62" s="2421"/>
      <c r="D62" s="2421"/>
      <c r="E62" s="2421"/>
      <c r="F62" s="2421"/>
      <c r="G62" s="2421"/>
      <c r="H62" s="2421"/>
      <c r="I62" s="2421"/>
    </row>
    <row r="63" spans="1:15" s="2418" customFormat="1" ht="36" customHeight="1" x14ac:dyDescent="0.25">
      <c r="A63" s="2421"/>
      <c r="B63" s="2421"/>
      <c r="C63" s="2421"/>
      <c r="D63" s="2421"/>
      <c r="E63" s="2421"/>
      <c r="F63" s="2421"/>
      <c r="G63" s="2421"/>
      <c r="H63" s="2421"/>
      <c r="I63" s="2421"/>
    </row>
    <row r="64" spans="1:15" s="2418" customFormat="1" ht="30" customHeight="1" x14ac:dyDescent="0.25">
      <c r="A64" s="2421"/>
      <c r="B64" s="2421"/>
      <c r="C64" s="2421"/>
      <c r="D64" s="2421"/>
      <c r="E64" s="2421"/>
      <c r="F64" s="2421"/>
      <c r="G64" s="2421"/>
      <c r="H64" s="2421"/>
      <c r="I64" s="2421"/>
    </row>
    <row r="65" spans="1:15" s="2418" customFormat="1" ht="21" customHeight="1" x14ac:dyDescent="0.25">
      <c r="A65" s="2421"/>
      <c r="B65" s="2421"/>
      <c r="C65" s="2421"/>
      <c r="D65" s="2421"/>
      <c r="E65" s="2421"/>
      <c r="F65" s="2421"/>
      <c r="G65" s="2421"/>
      <c r="H65" s="2421"/>
      <c r="I65" s="2421"/>
    </row>
    <row r="66" spans="1:15" s="2418" customFormat="1" ht="43.5" customHeight="1" x14ac:dyDescent="0.25">
      <c r="B66" s="2422" t="s">
        <v>1389</v>
      </c>
      <c r="C66" s="2422"/>
      <c r="D66" s="2422"/>
      <c r="E66" s="2422"/>
    </row>
    <row r="68" spans="1:15" ht="22.5" customHeight="1" x14ac:dyDescent="0.25">
      <c r="J68" s="1788" t="s">
        <v>1390</v>
      </c>
      <c r="K68" s="1788"/>
      <c r="L68" s="1788" t="s">
        <v>1391</v>
      </c>
      <c r="M68" s="1788"/>
    </row>
    <row r="69" spans="1:15" s="630" customFormat="1" ht="42" customHeight="1" thickBot="1" x14ac:dyDescent="0.3">
      <c r="B69" s="2423" t="s">
        <v>1392</v>
      </c>
      <c r="C69" s="2424"/>
      <c r="D69" s="2424"/>
      <c r="E69" s="2424"/>
      <c r="F69" s="2424"/>
      <c r="G69" s="2424"/>
      <c r="J69" s="1529" t="s">
        <v>1393</v>
      </c>
      <c r="K69" s="1529"/>
      <c r="L69" s="1529" t="s">
        <v>1394</v>
      </c>
      <c r="M69" s="1529"/>
    </row>
    <row r="70" spans="1:15" s="630" customFormat="1" ht="84.75" customHeight="1" x14ac:dyDescent="0.25">
      <c r="B70" s="2425" t="s">
        <v>1395</v>
      </c>
      <c r="C70" s="2426" t="s">
        <v>177</v>
      </c>
      <c r="D70" s="2426" t="s">
        <v>179</v>
      </c>
      <c r="E70" s="2427" t="s">
        <v>1396</v>
      </c>
      <c r="F70" s="2427" t="s">
        <v>1397</v>
      </c>
      <c r="G70" s="2428" t="s">
        <v>211</v>
      </c>
      <c r="H70" s="2429" t="str">
        <f>I37</f>
        <v>Valor de la Incorrección o Imposibilidad
( Valores en pesos)</v>
      </c>
      <c r="I70" s="2429" t="str">
        <f>J37</f>
        <v>Porcentaje (% ) de hallazgo o salvedad respecto a la cuenta presupuestal</v>
      </c>
      <c r="J70" s="2430" t="s">
        <v>1398</v>
      </c>
      <c r="K70" s="2430" t="s">
        <v>1399</v>
      </c>
      <c r="L70" s="2430" t="s">
        <v>1400</v>
      </c>
      <c r="M70" s="2430" t="s">
        <v>1401</v>
      </c>
      <c r="N70" s="2430" t="s">
        <v>1402</v>
      </c>
      <c r="O70" s="2430" t="s">
        <v>1403</v>
      </c>
    </row>
    <row r="71" spans="1:15" s="630" customFormat="1" ht="32.25" customHeight="1" x14ac:dyDescent="0.25">
      <c r="B71" s="2431" t="s">
        <v>470</v>
      </c>
      <c r="C71" s="2432" t="str">
        <f>IF(B71="","","EFICACIA")</f>
        <v>EFICACIA</v>
      </c>
      <c r="D71" s="2433">
        <f>IF('MATERIALIDAD PRESUPUESTAL'!$A$34="","",AVERAGE(K21,K31))</f>
        <v>0.75610238300854382</v>
      </c>
      <c r="E71" s="2454" t="s">
        <v>1378</v>
      </c>
      <c r="F71" s="2434">
        <f>IF(OR(B71="",D71=""),"",IF(E71='LISTAS PPTO'!$V$6,D71-'LISTAS PPTO'!$X$6,IF(E71='LISTAS PPTO'!$V$7,D71-'LISTAS PPTO'!$X$7,IF(E71='LISTAS PPTO'!$V$8,D71-'LISTAS PPTO'!$X$8,IF(E71='LISTAS PPTO'!$V$9,D71-'LISTAS PPTO'!$X$9,IF(E71='LISTAS PPTO'!$V$10,D71-'LISTAS PPTO'!$X$10,IF(E71='LISTAS PPTO'!$V$11,D71-'LISTAS PPTO'!$X$11,IF(E71='LISTAS PPTO'!$V$5,D71-'LISTAS PPTO'!$X$5,IF(E71='LISTAS PPTO'!$V$4,D71-'LISTAS PPTO'!$X$4,D71)))))))))</f>
        <v>0.6061023830085438</v>
      </c>
      <c r="G71" s="2435" t="str">
        <f t="shared" ref="G71:G78" si="1">IF(D71="","",IF(F71&gt;=0.75,"EFICAZ","INEFICAZ"))</f>
        <v>INEFICAZ</v>
      </c>
      <c r="H71" s="778">
        <f>IF(OR(B71="",D71=""),"",SUMIF($D$38:$D$53,"*INGRESOS*",$I$38:$I$53))</f>
        <v>0</v>
      </c>
      <c r="I71" s="963" t="str">
        <f>IF(OR(H71&lt;=0,H71=""),"",SUMIF($D$38:$D$53,"*INGRESOS*",$J$38:$J$53))</f>
        <v/>
      </c>
      <c r="J71" s="959" t="str">
        <f>IF(OR(I71&lt;=0,I71=""),"",SUMIF($C$38:$C$53,"*Incorrección*Ingresos*",$I$38:$I$53)/'MATERIALIDAD PRESUPUESTAL'!$D$34)</f>
        <v/>
      </c>
      <c r="K71" s="961" t="str">
        <f>IF(OR(J71&lt;=0,J71=""),"",SUMIF($C$38:$C$53,"*Incorrección*Ingresos*",$I$38:$I$53)/'MATERIALIDAD PRESUPUESTAL'!$D$34)</f>
        <v/>
      </c>
      <c r="L71" s="960" t="str">
        <f>IF(OR(I71&lt;=0,I71=""),"",SUMIF($C$38:$C$53,"*Imposibilidades*Ingresos*",$I$38:$I$53)/'MATERIALIDAD PRESUPUESTAL'!$D$34)</f>
        <v/>
      </c>
      <c r="M71" s="961" t="str">
        <f>IF(OR(I71&lt;=0,I71=""),"",SUMIF($C$38:$C$53,"*Imposibilidades*Ingresos*",$J$38:$J$53)/'MATERIALIDAD PRESUPUESTAL'!$C$34)</f>
        <v/>
      </c>
      <c r="N71" s="779" t="str">
        <f>IF(OR(I71&lt;=0,I71=""),"",H71/'MATERIALIDAD PRESUPUESTAL'!$D$34)</f>
        <v/>
      </c>
      <c r="O71" s="962" t="str">
        <f>IF(OR(I71&lt;=0,I71=""),"",I71/'MATERIALIDAD PRESUPUESTAL'!$C$34)</f>
        <v/>
      </c>
    </row>
    <row r="72" spans="1:15" s="630" customFormat="1" ht="32.25" customHeight="1" x14ac:dyDescent="0.25">
      <c r="B72" s="2431" t="s">
        <v>500</v>
      </c>
      <c r="C72" s="2432" t="str">
        <f t="shared" ref="C72:C78" si="2">IF(B72="","","EFICACIA")</f>
        <v>EFICACIA</v>
      </c>
      <c r="D72" s="2433">
        <f>IF('MATERIALIDAD PRESUPUESTAL'!$A$25="","",AVERAGE(K22:K23))</f>
        <v>0.8895380877011041</v>
      </c>
      <c r="E72" s="2454" t="s">
        <v>1444</v>
      </c>
      <c r="F72" s="2434">
        <f>IF(OR(B72="",D72=""),"",IF(E72='LISTAS PPTO'!$V$6,D72-'LISTAS PPTO'!$X$6,IF(E72='LISTAS PPTO'!$V$7,D72-'LISTAS PPTO'!$X$7,IF(E72='LISTAS PPTO'!$V$8,D72-'LISTAS PPTO'!$X$8,IF(E72='LISTAS PPTO'!$V$9,D72-'LISTAS PPTO'!$X$9,IF(E72='LISTAS PPTO'!$V$10,D72-'LISTAS PPTO'!$X$10,IF(E72='LISTAS PPTO'!$V$11,D72-'LISTAS PPTO'!$X$11,IF(E72='LISTAS PPTO'!$V$5,D72-'LISTAS PPTO'!$X$5,IF(E72='LISTAS PPTO'!$V$4,D72-'LISTAS PPTO'!$X$4,D72)))))))))</f>
        <v>0.8895380877011041</v>
      </c>
      <c r="G72" s="2435" t="str">
        <f t="shared" si="1"/>
        <v>EFICAZ</v>
      </c>
      <c r="H72" s="778">
        <f>IF(OR(B72="",D72=""),"",SUMIF($D$38:$D$53,"*GASTOS*",$I$38:$I$53))</f>
        <v>0</v>
      </c>
      <c r="I72" s="963" t="str">
        <f>IF(OR(H72&lt;=0,H72=""),"",SUMIF($D$38:$D$53,"GASTOS",$J$38:$J$53))</f>
        <v/>
      </c>
      <c r="J72" s="959" t="str">
        <f>IF(OR(I72&lt;=0,I72=""),"",SUMIF($C$38:$C$53,"*Incorrección*Gastos*",$I$38:$I$53)/'MATERIALIDAD PRESUPUESTAL'!$D$39)</f>
        <v/>
      </c>
      <c r="K72" s="961" t="str">
        <f>IF(OR(J72&lt;=0,J72=""),"",SUMIF($C$38:$C$53,"*Incorrección*Gastos*",$I$38:$I$53)/'MATERIALIDAD PRESUPUESTAL'!$D$39)</f>
        <v/>
      </c>
      <c r="L72" s="960" t="str">
        <f>IF(OR(I72&lt;=0,I72=""),"",SUMIF($C$38:$C$53,"*Imposibilidades*Gastos*",$I$38:$I$53)/'MATERIALIDAD PRESUPUESTAL'!$D$39)</f>
        <v/>
      </c>
      <c r="M72" s="961" t="str">
        <f>IF(OR(I72&lt;=0,I72=""),"",SUMIF($C$38:$C$53,"*Imposibilidades*Gastos*",$J$38:$J$53)/'MATERIALIDAD PRESUPUESTAL'!$C$39)</f>
        <v/>
      </c>
      <c r="N72" s="779" t="str">
        <f>IF(OR(I72&lt;=0,I72=""),"",H72/'MATERIALIDAD PRESUPUESTAL'!$D$39)</f>
        <v/>
      </c>
      <c r="O72" s="962" t="str">
        <f>IF(OR(I72&lt;=0,I72=""),"",I72/'MATERIALIDAD PRESUPUESTAL'!$C$39)</f>
        <v/>
      </c>
    </row>
    <row r="73" spans="1:15" s="630" customFormat="1" ht="32.25" customHeight="1" x14ac:dyDescent="0.25">
      <c r="B73" s="2431" t="s">
        <v>823</v>
      </c>
      <c r="C73" s="2432" t="str">
        <f t="shared" si="2"/>
        <v>EFICACIA</v>
      </c>
      <c r="D73" s="2433">
        <f>IF(OR('MATERIALIDAD PRESUPUESTAL'!$C$44="",'MATERIALIDAD PRESUPUESTAL'!$D$44=""),"",AVERAGE(K22:K23))</f>
        <v>0.8895380877011041</v>
      </c>
      <c r="E73" s="2454" t="s">
        <v>1444</v>
      </c>
      <c r="F73" s="2434">
        <f>IF(OR(B73="",D73=""),"",IF(E73='LISTAS PPTO'!$V$6,D73-'LISTAS PPTO'!$X$6,IF(E73='LISTAS PPTO'!$V$7,D73-'LISTAS PPTO'!$X$7,IF(E73='LISTAS PPTO'!$V$8,D73-'LISTAS PPTO'!$X$8,IF(E73='LISTAS PPTO'!$V$9,D73-'LISTAS PPTO'!$X$9,IF(E73='LISTAS PPTO'!$V$10,D73-'LISTAS PPTO'!$X$10,IF(E73='LISTAS PPTO'!$V$11,D73-'LISTAS PPTO'!$X$11,IF(E73='LISTAS PPTO'!$V$5,D73-'LISTAS PPTO'!$X$5,IF(E73='LISTAS PPTO'!$V$4,D73-'LISTAS PPTO'!$X$4,D73)))))))))</f>
        <v>0.8895380877011041</v>
      </c>
      <c r="G73" s="2435" t="str">
        <f t="shared" si="1"/>
        <v>EFICAZ</v>
      </c>
      <c r="H73" s="778">
        <f>IF(OR(B73="",D73=""),"",SUMIF($D$38:$D$53,"*GASTOS DE COMERCIALIZACIÓN Y PRODUCCIÓN*",$I$38:$I$53))</f>
        <v>0</v>
      </c>
      <c r="I73" s="963" t="str">
        <f>IF(OR(H73&lt;=0,H73=""),"",SUMIF($D$38:$D$53,"*GASTOS DE COMERCIALIZACIÓN Y PRODUCCIÓN*",$J$38:$J$53))</f>
        <v/>
      </c>
      <c r="J73" s="959" t="str">
        <f>IF(OR(I73&lt;=0,I73=""),"",SUMIF($C$38:$C$53,"*Incorrección*Comercialización*",$I$38:$I$53)/'MATERIALIDAD PRESUPUESTAL'!$D$44)</f>
        <v/>
      </c>
      <c r="K73" s="961" t="str">
        <f>IF(OR(J73&lt;=0,J73=""),"",SUMIF($C$38:$C$53,"*Incorrección*Comercialización*",$I$38:$I$53)/'MATERIALIDAD PRESUPUESTAL'!$D$44)</f>
        <v/>
      </c>
      <c r="L73" s="960" t="str">
        <f>IF(OR(I73&lt;=0,I73=""),"",SUMIF($C$38:$C$53,"*Imposibilidades*Comercialización*",$I$38:$I$53)/'MATERIALIDAD PRESUPUESTAL'!$D$44)</f>
        <v/>
      </c>
      <c r="M73" s="961" t="str">
        <f>IF(OR(I73&lt;=0,I73=""),"",SUMIF($C$38:$C$53,"*Imposibilidades*Comercialización*",$J$38:$J$53)/'MATERIALIDAD PRESUPUESTAL'!$C$39)</f>
        <v/>
      </c>
      <c r="N73" s="779" t="str">
        <f>IF(OR(I73&lt;=0,I73=""),"",H73/'MATERIALIDAD PRESUPUESTAL'!$D$44)</f>
        <v/>
      </c>
      <c r="O73" s="962" t="str">
        <f>IF(OR(I73&lt;=0,I73=""),"",I73/'MATERIALIDAD PRESUPUESTAL'!$C$39)</f>
        <v/>
      </c>
    </row>
    <row r="74" spans="1:15" s="630" customFormat="1" ht="32.25" customHeight="1" x14ac:dyDescent="0.25">
      <c r="B74" s="2431" t="s">
        <v>1734</v>
      </c>
      <c r="C74" s="2432" t="str">
        <f t="shared" si="2"/>
        <v>EFICACIA</v>
      </c>
      <c r="D74" s="2433">
        <f>IF(OR('MATERIALIDAD PRESUPUESTAL'!$C$45="",'MATERIALIDAD PRESUPUESTAL'!$D$45=""),"",AVERAGE(K24,K27,K28))</f>
        <v>0.82587963006754173</v>
      </c>
      <c r="E74" s="2454" t="s">
        <v>1405</v>
      </c>
      <c r="F74" s="2434">
        <f>IF(OR(B74="",D74=""),"",IF(E74='LISTAS PPTO'!$V$6,D74-'LISTAS PPTO'!$X$6,IF(E74='LISTAS PPTO'!$V$7,D74-'LISTAS PPTO'!$X$7,IF(E74='LISTAS PPTO'!$V$8,D74-'LISTAS PPTO'!$X$8,IF(E74='LISTAS PPTO'!$V$9,D74-'LISTAS PPTO'!$X$9,IF(E74='LISTAS PPTO'!$V$10,D74-'LISTAS PPTO'!$X$10,IF(E74='LISTAS PPTO'!$V$11,D74-'LISTAS PPTO'!$X$11,IF(E74='LISTAS PPTO'!$V$5,D74-'LISTAS PPTO'!$X$5,IF(E74='LISTAS PPTO'!$V$4,D74-'LISTAS PPTO'!$X$4,D74)))))))))</f>
        <v>0.6758796300675417</v>
      </c>
      <c r="G74" s="2435" t="str">
        <f t="shared" si="1"/>
        <v>INEFICAZ</v>
      </c>
      <c r="H74" s="778">
        <f>IF(OR(B74="",D74=""),"",SUMIF($D$38:$D$53,"*RESERVAS*",$I$38:$I$53))</f>
        <v>0</v>
      </c>
      <c r="I74" s="963" t="str">
        <f>IF(OR(H74&lt;=0,H74=""),"",SUMIF($D$38:$D$53,"*RESERVAS*",$J$38:$J$53))</f>
        <v/>
      </c>
      <c r="J74" s="959" t="str">
        <f>IF(OR(I74&lt;=0,I74=""),"",SUMIF($C$38:$C$53,"*Incorrección*Reservas*",$I$38:$I$53)/'MATERIALIDAD PRESUPUESTAL'!$D$45)</f>
        <v/>
      </c>
      <c r="K74" s="961" t="str">
        <f>IF(OR(J74&lt;=0,J74=""),"",SUMIF($C$38:$C$53,"*Incorrección*Reservas*",$I$38:$I$53)/'MATERIALIDAD PRESUPUESTAL'!$D$45)</f>
        <v/>
      </c>
      <c r="L74" s="960" t="str">
        <f>IF(OR(I74&lt;=0,I74=""),"",SUMIF($C$38:$C$53,"*Imposibilidades*Reservas*",$I$38:$I$53)/'MATERIALIDAD PRESUPUESTAL'!$D$45)</f>
        <v/>
      </c>
      <c r="M74" s="961" t="str">
        <f>IF(OR(I74&lt;=0,I74=""),"",SUMIF($C$38:$C$53,"*Imposibilidades*Reservas*",$J$38:$J$53)/'MATERIALIDAD PRESUPUESTAL'!$C$39)</f>
        <v/>
      </c>
      <c r="N74" s="779" t="str">
        <f>IF(OR(I74&lt;=0,I74=""),"",H74/'MATERIALIDAD PRESUPUESTAL'!$D$45)</f>
        <v/>
      </c>
      <c r="O74" s="962" t="str">
        <f>IF(OR(I74&lt;=0,I74=""),"",I74/'MATERIALIDAD PRESUPUESTAL'!$C$39)</f>
        <v/>
      </c>
    </row>
    <row r="75" spans="1:15" s="630" customFormat="1" ht="32.25" customHeight="1" x14ac:dyDescent="0.25">
      <c r="B75" s="2431" t="s">
        <v>828</v>
      </c>
      <c r="C75" s="2432" t="str">
        <f t="shared" si="2"/>
        <v>EFICACIA</v>
      </c>
      <c r="D75" s="2433">
        <f>IF(OR('MATERIALIDAD PRESUPUESTAL'!$C$46="",'MATERIALIDAD PRESUPUESTAL'!$D$46=""),"",AVERAGE(K24))</f>
        <v>0.8325797160738263</v>
      </c>
      <c r="E75" s="2454" t="s">
        <v>1444</v>
      </c>
      <c r="F75" s="2434">
        <f>IF(OR(B75="",D75=""),"",IF(E75='LISTAS PPTO'!$V$6,D75-'LISTAS PPTO'!$X$6,IF(E75='LISTAS PPTO'!$V$7,D75-'LISTAS PPTO'!$X$7,IF(E75='LISTAS PPTO'!$V$8,D75-'LISTAS PPTO'!$X$8,IF(E75='LISTAS PPTO'!$V$9,D75-'LISTAS PPTO'!$X$9,IF(E75='LISTAS PPTO'!$V$10,D75-'LISTAS PPTO'!$X$10,IF(E75='LISTAS PPTO'!$V$11,D75-'LISTAS PPTO'!$X$11,IF(E75='LISTAS PPTO'!$V$5,D75-'LISTAS PPTO'!$X$5,IF(E75='LISTAS PPTO'!$V$4,D75-'LISTAS PPTO'!$X$4,D75)))))))))</f>
        <v>0.8325797160738263</v>
      </c>
      <c r="G75" s="2435" t="str">
        <f t="shared" si="1"/>
        <v>EFICAZ</v>
      </c>
      <c r="H75" s="778">
        <f>IF(OR(B75="",D75=""),"",SUMIF($D$38:$D$53,"*OBLIGACIONES*",$I$38:$I$53))</f>
        <v>0</v>
      </c>
      <c r="I75" s="963" t="str">
        <f>IF(OR(H75&lt;=0,H75=""),"",SUMIF($D$38:$D$53,"*OBLIGACIONES*",$J$38:$J$53))</f>
        <v/>
      </c>
      <c r="J75" s="959" t="str">
        <f>IF(OR(I75&lt;=0,I75=""),"",SUMIF($C$38:$C$53,"*Incorrección*Obligaciones*",$I$38:$I$53)/'MATERIALIDAD PRESUPUESTAL'!$D$46)</f>
        <v/>
      </c>
      <c r="K75" s="961" t="str">
        <f>IF(OR(J75&lt;=0,J75=""),"",SUMIF($C$38:$C$53,"*Incorrección*Obligaciones*",$I$38:$I$53)/'MATERIALIDAD PRESUPUESTAL'!$D$46)</f>
        <v/>
      </c>
      <c r="L75" s="960" t="str">
        <f>IF(OR(I75&lt;=0,I75=""),"",SUMIF($C$38:$C$53,"*Imposibilidades*Obligaciones*",$I$38:$I$53)/'MATERIALIDAD PRESUPUESTAL'!$D$46)</f>
        <v/>
      </c>
      <c r="M75" s="961" t="str">
        <f>IF(OR(I75&lt;=0,I75=""),"",SUMIF($C$38:$C$53,"*Imposibilidades*Obligaciones*",$J$38:$J$53)/'MATERIALIDAD PRESUPUESTAL'!$C$39)</f>
        <v/>
      </c>
      <c r="N75" s="779" t="str">
        <f>IF(OR(I75&lt;=0,I75=""),"",H75/'MATERIALIDAD PRESUPUESTAL'!$D$46)</f>
        <v/>
      </c>
      <c r="O75" s="962" t="str">
        <f>IF(OR(I75&lt;=0,I75=""),"",I75/'MATERIALIDAD PRESUPUESTAL'!$C$39)</f>
        <v/>
      </c>
    </row>
    <row r="76" spans="1:15" s="630" customFormat="1" ht="32.25" customHeight="1" x14ac:dyDescent="0.25">
      <c r="B76" s="2431" t="s">
        <v>827</v>
      </c>
      <c r="C76" s="2432" t="str">
        <f t="shared" si="2"/>
        <v>EFICACIA</v>
      </c>
      <c r="D76" s="2433">
        <f>IF(OR('MATERIALIDAD PRESUPUESTAL'!$C$47="",'MATERIALIDAD PRESUPUESTAL'!$C$47=""),"",AVERAGE(K24))</f>
        <v>0.8325797160738263</v>
      </c>
      <c r="E76" s="2454" t="s">
        <v>1444</v>
      </c>
      <c r="F76" s="2434">
        <f>IF(OR(B76="",D76=""),"",IF(E76='LISTAS PPTO'!$V$6,D76-'LISTAS PPTO'!$X$6,IF(E76='LISTAS PPTO'!$V$7,D76-'LISTAS PPTO'!$X$7,IF(E76='LISTAS PPTO'!$V$8,D76-'LISTAS PPTO'!$X$8,IF(E76='LISTAS PPTO'!$V$9,D76-'LISTAS PPTO'!$X$9,IF(E76='LISTAS PPTO'!$V$10,D76-'LISTAS PPTO'!$X$10,IF(E76='LISTAS PPTO'!$V$11,D76-'LISTAS PPTO'!$X$11,IF(E76='LISTAS PPTO'!$V$5,D76-'LISTAS PPTO'!$X$5,IF(E76='LISTAS PPTO'!$V$4,D76-'LISTAS PPTO'!$X$4,D76)))))))))</f>
        <v>0.8325797160738263</v>
      </c>
      <c r="G76" s="2435" t="str">
        <f t="shared" si="1"/>
        <v>EFICAZ</v>
      </c>
      <c r="H76" s="778">
        <f>IF(OR(B76="",D76=""),"",SUMIF($D$38:$D$53,"*CUENTAS POR PAGAR*",$I$38:$I$53))</f>
        <v>0</v>
      </c>
      <c r="I76" s="963" t="str">
        <f>IF(OR(H76&lt;=0,H76=""),"",SUMIF($D$38:$D$53,"*CUENTAS POR PAGAR*",$J$38:$J$53))</f>
        <v/>
      </c>
      <c r="J76" s="959" t="str">
        <f>IF(OR(I76&lt;=0,I76=""),"",SUMIF($C$38:$C$53,"*Incorrección*Cuentas por Pagar*",$I$38:$I$53)/'MATERIALIDAD PRESUPUESTAL'!$D$47)</f>
        <v/>
      </c>
      <c r="K76" s="961" t="str">
        <f>IF(OR(J76&lt;=0,J76=""),"",SUMIF($C$38:$C$53,"*Incorrección*Cuentas por Pagar*",$I$38:$I$53)/'MATERIALIDAD PRESUPUESTAL'!$D$47)</f>
        <v/>
      </c>
      <c r="L76" s="960" t="str">
        <f>IF(OR(I76&lt;=0,I76=""),"",SUMIF($C$38:$C$53,"*Imposibilidades*Cuentas por Pagar*",$I$38:$I$53)/'MATERIALIDAD PRESUPUESTAL'!$D$47)</f>
        <v/>
      </c>
      <c r="M76" s="961" t="str">
        <f>IF(OR(I76&lt;=0,I76=""),"",SUMIF($C$38:$C$53,"*Imposibilidades*Cuentas por Pagar*",$J$38:$J$53)/'MATERIALIDAD PRESUPUESTAL'!$C$39)</f>
        <v/>
      </c>
      <c r="N76" s="779" t="str">
        <f>IF(OR(I76&lt;=0,I76=""),"",H76/'MATERIALIDAD PRESUPUESTAL'!$D$47)</f>
        <v/>
      </c>
      <c r="O76" s="962" t="str">
        <f>IF(OR(I76&lt;=0,I76=""),"",I76/'MATERIALIDAD PRESUPUESTAL'!$C$39)</f>
        <v/>
      </c>
    </row>
    <row r="77" spans="1:15" s="630" customFormat="1" ht="32.25" customHeight="1" x14ac:dyDescent="0.25">
      <c r="B77" s="2431" t="s">
        <v>520</v>
      </c>
      <c r="C77" s="2432" t="str">
        <f t="shared" si="2"/>
        <v>EFICACIA</v>
      </c>
      <c r="D77" s="2433">
        <f>IF(OR('MATERIALIDAD PRESUPUESTAL'!$C$48="",'MATERIALIDAD PRESUPUESTAL'!$D$48=""),"",K29)</f>
        <v>0.8325797160738263</v>
      </c>
      <c r="E77" s="2454" t="s">
        <v>1444</v>
      </c>
      <c r="F77" s="2434">
        <f>IF(OR(B77="",D77=""),"",IF(E77='LISTAS PPTO'!$V$6,D77-'LISTAS PPTO'!$X$6,IF(E77='LISTAS PPTO'!$V$7,D77-'LISTAS PPTO'!$X$7,IF(E77='LISTAS PPTO'!$V$8,D77-'LISTAS PPTO'!$X$8,IF(E77='LISTAS PPTO'!$V$9,D77-'LISTAS PPTO'!$X$9,IF(E77='LISTAS PPTO'!$V$10,D77-'LISTAS PPTO'!$X$10,IF(E77='LISTAS PPTO'!$V$11,D77-'LISTAS PPTO'!$X$11,IF(E77='LISTAS PPTO'!$V$5,D77-'LISTAS PPTO'!$X$5,IF(E77='LISTAS PPTO'!$V$4,D77-'LISTAS PPTO'!$X$4,D77)))))))))</f>
        <v>0.8325797160738263</v>
      </c>
      <c r="G77" s="2435" t="str">
        <f t="shared" si="1"/>
        <v>EFICAZ</v>
      </c>
      <c r="H77" s="778">
        <f>IF(OR(B77="",D77=""),"",SUMIF($D$38:$D$53,"*PASIVOS EXIGIBLES*",$I$38:$I$53))</f>
        <v>0</v>
      </c>
      <c r="I77" s="963" t="str">
        <f>IF(OR(H77&lt;=0,H77=""),"",SUMIF($D$38:$D$53,"*PASIVOS EXIGIBLES*",$J$38:$J$53))</f>
        <v/>
      </c>
      <c r="J77" s="959" t="str">
        <f>IF(OR(I77&lt;=0,I77=""),"",SUMIF($C$38:$C$53,"*Incorrección*Pasivos*",$I$38:$I$53)/'MATERIALIDAD PRESUPUESTAL'!$D$48)</f>
        <v/>
      </c>
      <c r="K77" s="961" t="str">
        <f>IF(OR(J77&lt;=0,J77=""),"",SUMIF($C$38:$C$53,"*Incorrección*Pasivos*",$I$38:$I$53)/'MATERIALIDAD PRESUPUESTAL'!$D$48)</f>
        <v/>
      </c>
      <c r="L77" s="960" t="str">
        <f>IF(OR(I77&lt;=0,I77=""),"",SUMIF($C$38:$C$53,"*Imposibilidades*Pasivos*",$I$38:$I$53)/'MATERIALIDAD PRESUPUESTAL'!$D$48)</f>
        <v/>
      </c>
      <c r="M77" s="961" t="str">
        <f>IF(OR(I77&lt;=0,I77=""),"",SUMIF($C$38:$C$53,"*Imposibilidades*Pasivos*",$J$38:$J$53)/'MATERIALIDAD PRESUPUESTAL'!$C$39)</f>
        <v/>
      </c>
      <c r="N77" s="779" t="str">
        <f>IF(OR(I77&lt;=0,I77=""),"",H77/'MATERIALIDAD PRESUPUESTAL'!$D$48)</f>
        <v/>
      </c>
      <c r="O77" s="962" t="str">
        <f>IF(OR(I77&lt;=0,I77=""),"",I77/'MATERIALIDAD PRESUPUESTAL'!$C$39)</f>
        <v/>
      </c>
    </row>
    <row r="78" spans="1:15" s="630" customFormat="1" ht="32.25" customHeight="1" x14ac:dyDescent="0.25">
      <c r="B78" s="2431" t="s">
        <v>527</v>
      </c>
      <c r="C78" s="2432" t="str">
        <f t="shared" si="2"/>
        <v>EFICACIA</v>
      </c>
      <c r="D78" s="2433">
        <f>IF(OR('MATERIALIDAD PRESUPUESTAL'!$C$49="",'MATERIALIDAD PRESUPUESTAL'!$D$49=""),"",K30)</f>
        <v>0.87051371841147451</v>
      </c>
      <c r="E78" s="2454" t="s">
        <v>1444</v>
      </c>
      <c r="F78" s="2434">
        <f>IF(OR(B78="",D78=""),"",IF(E78='LISTAS PPTO'!$V$6,D78-'LISTAS PPTO'!$X$6,IF(E78='LISTAS PPTO'!$V$7,D78-'LISTAS PPTO'!$X$7,IF(E78='LISTAS PPTO'!$V$8,D78-'LISTAS PPTO'!$X$8,IF(E78='LISTAS PPTO'!$V$9,D78-'LISTAS PPTO'!$X$9,IF(E78='LISTAS PPTO'!$V$10,D78-'LISTAS PPTO'!$X$10,IF(E78='LISTAS PPTO'!$V$11,D78-'LISTAS PPTO'!$X$11,IF(E78='LISTAS PPTO'!$V$5,D78-'LISTAS PPTO'!$X$5,IF(E78='LISTAS PPTO'!$V$4,D78-'LISTAS PPTO'!$X$4,D78)))))))))</f>
        <v>0.87051371841147451</v>
      </c>
      <c r="G78" s="2435" t="str">
        <f t="shared" si="1"/>
        <v>EFICAZ</v>
      </c>
      <c r="H78" s="778">
        <f>IF(OR(B78="",D78=""),"",SUMIF($D$38:$D$53,"*VIGENCIAS FUTURAS*",$I$38:$I$53))</f>
        <v>0</v>
      </c>
      <c r="I78" s="963" t="str">
        <f>IF(OR(H78&lt;=0,H78=""),"",SUMIF($D$38:$D$53,"*VIGENCIAS FUTURAS*",$J$38:$J$53))</f>
        <v/>
      </c>
      <c r="J78" s="959" t="str">
        <f>IF(OR(I78&lt;=0,I78=""),"",SUMIF($C$38:$C$53,"*Incorrección*Vigencias*",$I$38:$I$53)/'MATERIALIDAD PRESUPUESTAL'!$D$49)</f>
        <v/>
      </c>
      <c r="K78" s="961" t="str">
        <f>IF(OR(J78&lt;=0,J78=""),"",SUMIF($C$38:$C$53,"*Incorrección*Vigencias*",$I$38:$I$53)/'MATERIALIDAD PRESUPUESTAL'!$D$49)</f>
        <v/>
      </c>
      <c r="L78" s="960" t="str">
        <f>IF(OR(I78&lt;=0,I78=""),"",SUMIF($C$38:$C$53,"*Imposibilidades*Vigencias*",$I$38:$I$53)/'MATERIALIDAD PRESUPUESTAL'!$D$49)</f>
        <v/>
      </c>
      <c r="M78" s="961" t="str">
        <f>IF(OR(I78&lt;=0,I78=""),"",SUMIF($C$38:$C$53,"*Imposibilidades*Vigencias*",$J$38:$J$53)/'MATERIALIDAD PRESUPUESTAL'!$C$39)</f>
        <v/>
      </c>
      <c r="N78" s="779" t="str">
        <f>IF(OR(I78&lt;=0,I78=""),"",H78/'MATERIALIDAD PRESUPUESTAL'!$D$49)</f>
        <v/>
      </c>
      <c r="O78" s="962" t="str">
        <f>IF(OR(I78&lt;=0,I78=""),"",I78/'MATERIALIDAD PRESUPUESTAL'!$C$39)</f>
        <v/>
      </c>
    </row>
    <row r="79" spans="1:15" s="630" customFormat="1" ht="21" customHeight="1" x14ac:dyDescent="0.25">
      <c r="B79" s="2436" t="s">
        <v>1406</v>
      </c>
      <c r="C79" s="2436"/>
      <c r="D79" s="2437">
        <f>AVERAGE(D71:D78)</f>
        <v>0.84116388188890578</v>
      </c>
      <c r="E79" s="1282"/>
      <c r="F79" s="2437">
        <f>AVERAGE(F71:F78)</f>
        <v>0.80366388188890581</v>
      </c>
      <c r="G79" s="2438" t="str">
        <f>IF(F79&gt;=0.75,"EFICAZ","INEFICAZ")</f>
        <v>EFICAZ</v>
      </c>
      <c r="M79" s="2439"/>
    </row>
    <row r="80" spans="1:15" s="630" customFormat="1" x14ac:dyDescent="0.25"/>
    <row r="81" spans="2:17" s="630" customFormat="1" ht="43.5" customHeight="1" x14ac:dyDescent="0.25">
      <c r="B81" s="1806" t="s">
        <v>1407</v>
      </c>
      <c r="C81" s="1806"/>
      <c r="D81" s="1806"/>
      <c r="E81" s="1806"/>
    </row>
    <row r="82" spans="2:17" s="630" customFormat="1" x14ac:dyDescent="0.25"/>
    <row r="83" spans="2:17" s="630" customFormat="1" x14ac:dyDescent="0.25"/>
    <row r="84" spans="2:17" s="630" customFormat="1" x14ac:dyDescent="0.25"/>
    <row r="85" spans="2:17" s="630" customFormat="1" ht="33.75" customHeight="1" x14ac:dyDescent="0.25">
      <c r="C85" s="780" t="s">
        <v>1408</v>
      </c>
      <c r="D85" s="780" t="s">
        <v>537</v>
      </c>
      <c r="E85" s="780" t="s">
        <v>1744</v>
      </c>
    </row>
    <row r="86" spans="2:17" s="630" customFormat="1" ht="45" x14ac:dyDescent="0.25">
      <c r="B86" s="2440" t="s">
        <v>1409</v>
      </c>
      <c r="C86" s="2441">
        <f>IF(N71="",0,IF(O71&gt;O72,N71,N72))</f>
        <v>0</v>
      </c>
      <c r="D86" s="2441">
        <f>IF(O71="",0,O71)</f>
        <v>0</v>
      </c>
      <c r="E86" s="2441">
        <f>SUM(O72,O73:O78)</f>
        <v>0</v>
      </c>
    </row>
    <row r="87" spans="2:17" s="630" customFormat="1" ht="29.25" x14ac:dyDescent="0.25">
      <c r="B87" s="2440" t="s">
        <v>1410</v>
      </c>
      <c r="C87" s="916" t="str">
        <f>IF(C86&lt;1,"SI","NO")</f>
        <v>SI</v>
      </c>
      <c r="D87" s="916" t="str">
        <f>IF(D86&lt;1,"SI","NO")</f>
        <v>SI</v>
      </c>
      <c r="E87" s="916" t="str">
        <f>IF(E86&lt;1,"SI","NO")</f>
        <v>SI</v>
      </c>
    </row>
    <row r="88" spans="2:17" s="630" customFormat="1" ht="29.25" x14ac:dyDescent="0.25">
      <c r="B88" s="2442" t="s">
        <v>1411</v>
      </c>
      <c r="C88" s="916" t="str">
        <f>IF(C86="","",IF(AND(C86&gt;=1,C86&lt;5),"SI","NO"))</f>
        <v>NO</v>
      </c>
      <c r="D88" s="916" t="str">
        <f>IF(D86="","",IF(AND(D86&gt;=1,D86&lt;5),"SI","NO"))</f>
        <v>NO</v>
      </c>
      <c r="E88" s="916" t="str">
        <f>IF(E86="","",IF(AND(E86&gt;=1,E86&lt;5),"SI","NO"))</f>
        <v>NO</v>
      </c>
    </row>
    <row r="89" spans="2:17" s="630" customFormat="1" ht="47.25" customHeight="1" x14ac:dyDescent="0.25">
      <c r="B89" s="2442" t="s">
        <v>1412</v>
      </c>
      <c r="C89" s="916" t="str">
        <f>IF(C86&gt;=5,"SI","NO")</f>
        <v>NO</v>
      </c>
      <c r="D89" s="916" t="str">
        <f>IF(D86&gt;=5,"SI","NO")</f>
        <v>NO</v>
      </c>
      <c r="E89" s="916" t="str">
        <f>IF(E86&gt;=1,"SI","NO")</f>
        <v>NO</v>
      </c>
    </row>
    <row r="90" spans="2:17" s="630" customFormat="1" ht="60" x14ac:dyDescent="0.25">
      <c r="B90" s="2442" t="s">
        <v>1413</v>
      </c>
      <c r="C90" s="2443" t="str">
        <f>IF(C86=N71,IF(L71&gt;=J71,"PREDOMINA IMPOSIBILIDADES","PREDOMINA INCORRECCIONES"),IF(C86=SUM(N72,N73:N78),IF(SUM(L72,L73:L78)&gt;=SUM(J72,J73:J78),"PREDOMINA IMPOSIBILIDADES","PREDOMINA INCORRECCIONES"),""))</f>
        <v>PREDOMINA IMPOSIBILIDADES</v>
      </c>
      <c r="D90" s="2443" t="str">
        <f>IF(D86=O71,IF(M71&gt;=K71,"PREDOMINA IMPOSIBILIDADES","PREDOMINA INCORRECCIONES"),"")</f>
        <v/>
      </c>
      <c r="E90" s="2443" t="str">
        <f>IF(E86=SUM(O72,O73:O78),IF(SUM(M72,M73:M78)&gt;=SUM(K72,K73:K78),"PREDOMINA IMPOSIBILIDADES","PREDOMINA INCORRECCIONES"),"")</f>
        <v>PREDOMINA IMPOSIBILIDADES</v>
      </c>
    </row>
    <row r="91" spans="2:17" s="630" customFormat="1" ht="18" customHeight="1" x14ac:dyDescent="0.25">
      <c r="B91" s="783" t="s">
        <v>1414</v>
      </c>
    </row>
    <row r="92" spans="2:17" s="630" customFormat="1" x14ac:dyDescent="0.25"/>
    <row r="93" spans="2:17" s="630" customFormat="1" x14ac:dyDescent="0.25"/>
    <row r="94" spans="2:17" s="630" customFormat="1" x14ac:dyDescent="0.25"/>
    <row r="95" spans="2:17" s="630" customFormat="1" x14ac:dyDescent="0.25">
      <c r="D95" s="738"/>
      <c r="E95" s="738"/>
      <c r="F95" s="738"/>
      <c r="G95" s="782"/>
      <c r="H95" s="738"/>
    </row>
    <row r="96" spans="2:17" s="630" customFormat="1" ht="15" x14ac:dyDescent="0.25">
      <c r="B96" s="783"/>
      <c r="C96" s="784"/>
      <c r="D96" s="784"/>
      <c r="E96" s="1283"/>
      <c r="F96" s="784"/>
      <c r="G96" s="784"/>
      <c r="H96" s="1283"/>
      <c r="N96" s="2444"/>
      <c r="Q96" s="1283"/>
    </row>
    <row r="97" spans="2:17" s="630" customFormat="1" ht="39.75" customHeight="1" x14ac:dyDescent="0.25">
      <c r="C97" s="784"/>
      <c r="D97" s="784"/>
      <c r="E97" s="784"/>
      <c r="F97" s="784"/>
      <c r="G97" s="784"/>
      <c r="H97" s="1283"/>
      <c r="N97" s="2444"/>
      <c r="Q97" s="1283"/>
    </row>
    <row r="98" spans="2:17" s="630" customFormat="1" ht="15.75" thickBot="1" x14ac:dyDescent="0.3">
      <c r="C98" s="784"/>
      <c r="D98" s="784"/>
      <c r="E98" s="784"/>
      <c r="F98" s="784"/>
      <c r="I98" s="785"/>
      <c r="N98" s="2444"/>
      <c r="Q98" s="1283"/>
    </row>
    <row r="99" spans="2:17" s="630" customFormat="1" ht="39.75" customHeight="1" thickTop="1" thickBot="1" x14ac:dyDescent="0.3">
      <c r="B99" s="1787" t="s">
        <v>1742</v>
      </c>
      <c r="C99" s="1787"/>
      <c r="D99" s="1131" t="str">
        <f>IF(D71="","No Aplica",IF(D87="SI","Razonable",IF(D88="SI","Con Salvedades",IF(AND(D89="SI",D90="Predomina Incorrecciones"),"No Razonable",IF(AND(D89="SI",D90="Predomina Imposibilidades"),"Abstención","")))))</f>
        <v>Razonable</v>
      </c>
      <c r="E99" s="2445">
        <f>VLOOKUP(D99,ConceptoPresupuesto235[],2,FALSE)</f>
        <v>1</v>
      </c>
      <c r="F99" s="1132" t="s">
        <v>1415</v>
      </c>
      <c r="G99" s="1131" t="str">
        <f>+VLOOKUP(CONCATENATE(D99,D100),'FENECIMIENTO CUENTA'!F39:I64,4,0)</f>
        <v>Razonable</v>
      </c>
      <c r="I99" s="1283"/>
      <c r="N99" s="2444"/>
      <c r="Q99" s="1283"/>
    </row>
    <row r="100" spans="2:17" s="630" customFormat="1" ht="39.75" customHeight="1" thickTop="1" thickBot="1" x14ac:dyDescent="0.3">
      <c r="B100" s="1787" t="s">
        <v>1743</v>
      </c>
      <c r="C100" s="1787"/>
      <c r="D100" s="1131" t="str">
        <f>IF(D72="No Aplica","No Aplica",IF(E87="SI","Razonable",IF(E88="SI","Con Salvedades",IF(AND(E89="SI",E90="Predomina Incorrecciones"),"No Razonable",IF(AND(E89="SI",E90="Predomina Imposibilidades"),"Abstención","")))))</f>
        <v>Razonable</v>
      </c>
      <c r="E100" s="2445">
        <f>VLOOKUP(D100,ConceptoPresupuesto235[],2,FALSE)</f>
        <v>1</v>
      </c>
      <c r="F100" s="1132" t="s">
        <v>1416</v>
      </c>
      <c r="G100" s="2445">
        <f>VLOOKUP(G99,ConceptoPresupuesto235[],2,FALSE)</f>
        <v>1</v>
      </c>
      <c r="I100" s="1283"/>
      <c r="N100" s="2444"/>
      <c r="Q100" s="2446"/>
    </row>
    <row r="101" spans="2:17" s="630" customFormat="1" ht="15.75" thickTop="1" x14ac:dyDescent="0.25">
      <c r="H101" s="99"/>
      <c r="I101" s="99"/>
      <c r="J101" s="99"/>
      <c r="K101" s="99"/>
    </row>
    <row r="102" spans="2:17" s="630" customFormat="1" ht="27" customHeight="1" x14ac:dyDescent="0.25">
      <c r="B102" s="2447" t="s">
        <v>1730</v>
      </c>
      <c r="C102" s="2448"/>
      <c r="D102" s="2448"/>
      <c r="E102" s="2448"/>
      <c r="F102" s="2448"/>
      <c r="G102" s="2449"/>
    </row>
    <row r="103" spans="2:17" s="630" customFormat="1" ht="48" customHeight="1" thickBot="1" x14ac:dyDescent="0.3">
      <c r="B103" s="2450" t="s">
        <v>1731</v>
      </c>
      <c r="C103" s="2450" t="s">
        <v>1044</v>
      </c>
      <c r="D103" s="2450" t="s">
        <v>1045</v>
      </c>
      <c r="E103" s="2450" t="s">
        <v>1046</v>
      </c>
      <c r="F103" s="2450" t="s">
        <v>1417</v>
      </c>
      <c r="G103" s="2450" t="s">
        <v>1048</v>
      </c>
    </row>
    <row r="104" spans="2:17" s="630" customFormat="1" ht="99.75" customHeight="1" thickBot="1" x14ac:dyDescent="0.3">
      <c r="B104" s="2451" t="s">
        <v>1717</v>
      </c>
      <c r="C104" s="2451" t="s">
        <v>1418</v>
      </c>
      <c r="D104" s="2451" t="s">
        <v>1419</v>
      </c>
      <c r="E104" s="2451" t="s">
        <v>1420</v>
      </c>
      <c r="F104" s="2452">
        <v>100</v>
      </c>
      <c r="G104" s="2452" t="s">
        <v>499</v>
      </c>
    </row>
    <row r="105" spans="2:17" s="630" customFormat="1" ht="96.75" customHeight="1" thickBot="1" x14ac:dyDescent="0.3">
      <c r="B105" s="2451" t="s">
        <v>1053</v>
      </c>
      <c r="C105" s="2451" t="s">
        <v>1421</v>
      </c>
      <c r="D105" s="2451" t="s">
        <v>1422</v>
      </c>
      <c r="E105" s="2451" t="s">
        <v>1423</v>
      </c>
      <c r="F105" s="2452">
        <v>75</v>
      </c>
      <c r="G105" s="2452" t="s">
        <v>499</v>
      </c>
    </row>
    <row r="106" spans="2:17" s="630" customFormat="1" ht="91.9" customHeight="1" thickBot="1" x14ac:dyDescent="0.3">
      <c r="B106" s="2451" t="s">
        <v>1718</v>
      </c>
      <c r="C106" s="2453" t="s">
        <v>1424</v>
      </c>
      <c r="D106" s="2453" t="s">
        <v>1424</v>
      </c>
      <c r="E106" s="2453" t="s">
        <v>1425</v>
      </c>
      <c r="F106" s="2452">
        <v>0</v>
      </c>
      <c r="G106" s="2452" t="s">
        <v>514</v>
      </c>
    </row>
    <row r="107" spans="2:17" s="630" customFormat="1" ht="138" customHeight="1" thickBot="1" x14ac:dyDescent="0.3">
      <c r="B107" s="2451" t="s">
        <v>518</v>
      </c>
      <c r="C107" s="2452"/>
      <c r="D107" s="2453" t="s">
        <v>1426</v>
      </c>
      <c r="E107" s="2453" t="s">
        <v>1427</v>
      </c>
      <c r="F107" s="2452">
        <v>0</v>
      </c>
      <c r="G107" s="2452" t="s">
        <v>514</v>
      </c>
    </row>
    <row r="108" spans="2:17" s="630" customFormat="1" x14ac:dyDescent="0.25"/>
    <row r="109" spans="2:17" s="630" customFormat="1" ht="15" thickBot="1" x14ac:dyDescent="0.3"/>
    <row r="110" spans="2:17" s="630" customFormat="1" x14ac:dyDescent="0.25">
      <c r="B110" s="2219" t="s">
        <v>679</v>
      </c>
      <c r="C110" s="2220"/>
      <c r="D110" s="2220"/>
      <c r="E110" s="2221"/>
    </row>
    <row r="111" spans="2:17" s="630" customFormat="1" ht="89.25" customHeight="1" thickBot="1" x14ac:dyDescent="0.3">
      <c r="B111" s="2222"/>
      <c r="C111" s="2223"/>
      <c r="D111" s="2223"/>
      <c r="E111" s="2224"/>
    </row>
    <row r="112" spans="2:17" s="630" customFormat="1" ht="15" thickBot="1" x14ac:dyDescent="0.3">
      <c r="B112" s="631"/>
      <c r="C112" s="737" t="s">
        <v>857</v>
      </c>
      <c r="D112" s="737" t="s">
        <v>1428</v>
      </c>
      <c r="E112" s="631"/>
    </row>
    <row r="113" spans="2:5" s="630" customFormat="1" ht="47.25" customHeight="1" x14ac:dyDescent="0.25">
      <c r="B113" s="2126" t="s">
        <v>680</v>
      </c>
      <c r="C113" s="2225"/>
      <c r="D113" s="2226"/>
      <c r="E113" s="631"/>
    </row>
    <row r="114" spans="2:5" s="630" customFormat="1" ht="51" customHeight="1" x14ac:dyDescent="0.25">
      <c r="B114" s="2129"/>
      <c r="C114" s="2227"/>
      <c r="D114" s="2228"/>
      <c r="E114" s="631"/>
    </row>
    <row r="115" spans="2:5" s="630" customFormat="1" ht="65.25" customHeight="1" thickBot="1" x14ac:dyDescent="0.3">
      <c r="B115" s="2129"/>
      <c r="C115" s="2229"/>
      <c r="D115" s="2230"/>
      <c r="E115" s="631"/>
    </row>
    <row r="116" spans="2:5" s="630" customFormat="1" ht="38.25" customHeight="1" x14ac:dyDescent="0.25">
      <c r="B116" s="2089" t="s">
        <v>1429</v>
      </c>
      <c r="C116" s="2231"/>
      <c r="D116" s="2226"/>
      <c r="E116" s="631"/>
    </row>
    <row r="117" spans="2:5" s="630" customFormat="1" ht="30.75" customHeight="1" x14ac:dyDescent="0.25">
      <c r="B117" s="2094"/>
      <c r="C117" s="2232"/>
      <c r="D117" s="2228"/>
      <c r="E117" s="631"/>
    </row>
    <row r="118" spans="2:5" s="630" customFormat="1" ht="45" customHeight="1" thickBot="1" x14ac:dyDescent="0.3">
      <c r="B118" s="2095"/>
      <c r="C118" s="2233"/>
      <c r="D118" s="2234"/>
      <c r="E118" s="631"/>
    </row>
    <row r="119" spans="2:5" s="630" customFormat="1" ht="49.5" customHeight="1" thickBot="1" x14ac:dyDescent="0.3">
      <c r="B119" s="2235" t="s">
        <v>1430</v>
      </c>
      <c r="C119" s="2236"/>
      <c r="D119" s="2237"/>
      <c r="E119" s="631"/>
    </row>
    <row r="120" spans="2:5" s="630" customFormat="1" ht="56.25" customHeight="1" thickBot="1" x14ac:dyDescent="0.3">
      <c r="B120" s="2238" t="s">
        <v>681</v>
      </c>
      <c r="C120" s="2239"/>
      <c r="D120" s="2240"/>
      <c r="E120" s="631"/>
    </row>
    <row r="121" spans="2:5" s="630" customFormat="1" x14ac:dyDescent="0.25"/>
  </sheetData>
  <sheetProtection algorithmName="SHA-512" hashValue="RdjlDrdlqH1I0TsPHSRPHuNHp6RR4DkJ5pDp0IbnavofGrafvjDB9+017QchUwJIdK10P4u+oDi2ETA7OAMDYA==" saltValue="9/oQyc5oOcKxLf/5EO6Jcw==" spinCount="100000" sheet="1" objects="1" scenarios="1"/>
  <protectedRanges>
    <protectedRange sqref="C34 C21:C28" name="Rango6_1"/>
    <protectedRange sqref="C29 D34 E23:F28" name="Rango4_1"/>
    <protectedRange sqref="E34:F34 E29:F29 E21:F22" name="Rango3_1"/>
    <protectedRange sqref="K21:K35" name="Rango2_1"/>
    <protectedRange sqref="D25" name="Rango4"/>
    <protectedRange sqref="D21:D24" name="Rango4_2"/>
    <protectedRange sqref="D26:D31" name="Rango4_3"/>
  </protectedRanges>
  <mergeCells count="68">
    <mergeCell ref="A5:H5"/>
    <mergeCell ref="A1:I1"/>
    <mergeCell ref="A2:B3"/>
    <mergeCell ref="K2:K3"/>
    <mergeCell ref="A4:H4"/>
    <mergeCell ref="C2:J3"/>
    <mergeCell ref="A6:H6"/>
    <mergeCell ref="A7:H7"/>
    <mergeCell ref="A8:B8"/>
    <mergeCell ref="C8:D8"/>
    <mergeCell ref="A9:B9"/>
    <mergeCell ref="C9:D9"/>
    <mergeCell ref="G9:H9"/>
    <mergeCell ref="G8:H8"/>
    <mergeCell ref="J19:J20"/>
    <mergeCell ref="K19:K20"/>
    <mergeCell ref="A17:K17"/>
    <mergeCell ref="A10:B10"/>
    <mergeCell ref="C10:D10"/>
    <mergeCell ref="G10:H10"/>
    <mergeCell ref="A11:B11"/>
    <mergeCell ref="C11:D11"/>
    <mergeCell ref="G11:H11"/>
    <mergeCell ref="A19:A20"/>
    <mergeCell ref="B19:F19"/>
    <mergeCell ref="G19:G20"/>
    <mergeCell ref="H19:H20"/>
    <mergeCell ref="I19:I20"/>
    <mergeCell ref="E42:F42"/>
    <mergeCell ref="H21:H30"/>
    <mergeCell ref="J21:J30"/>
    <mergeCell ref="I27:I28"/>
    <mergeCell ref="B33:E33"/>
    <mergeCell ref="B34:C34"/>
    <mergeCell ref="A35:N35"/>
    <mergeCell ref="E37:F37"/>
    <mergeCell ref="E38:F38"/>
    <mergeCell ref="E39:F39"/>
    <mergeCell ref="E40:F40"/>
    <mergeCell ref="E41:F41"/>
    <mergeCell ref="A54:H54"/>
    <mergeCell ref="E43:F43"/>
    <mergeCell ref="E44:F44"/>
    <mergeCell ref="E45:F45"/>
    <mergeCell ref="E46:F46"/>
    <mergeCell ref="E47:F47"/>
    <mergeCell ref="E48:F48"/>
    <mergeCell ref="E49:F49"/>
    <mergeCell ref="E50:F50"/>
    <mergeCell ref="E51:F51"/>
    <mergeCell ref="E52:F52"/>
    <mergeCell ref="E53:F53"/>
    <mergeCell ref="A57:I65"/>
    <mergeCell ref="B66:E66"/>
    <mergeCell ref="J68:K68"/>
    <mergeCell ref="L68:M68"/>
    <mergeCell ref="B69:G69"/>
    <mergeCell ref="J69:K69"/>
    <mergeCell ref="L69:M69"/>
    <mergeCell ref="B113:B115"/>
    <mergeCell ref="B116:B118"/>
    <mergeCell ref="B79:C79"/>
    <mergeCell ref="B81:E81"/>
    <mergeCell ref="B99:C99"/>
    <mergeCell ref="B100:C100"/>
    <mergeCell ref="B102:G102"/>
    <mergeCell ref="B110:B111"/>
    <mergeCell ref="C110:E111"/>
  </mergeCells>
  <conditionalFormatting sqref="D99">
    <cfRule type="expression" dxfId="138" priority="27">
      <formula>$D$99="Abstención"</formula>
    </cfRule>
    <cfRule type="expression" dxfId="137" priority="28">
      <formula>$D$99="No Razonable"</formula>
    </cfRule>
    <cfRule type="expression" dxfId="136" priority="29">
      <formula>$D$99="Con Salvedades"</formula>
    </cfRule>
    <cfRule type="expression" dxfId="135" priority="30">
      <formula>$D$99="Razonable"</formula>
    </cfRule>
  </conditionalFormatting>
  <conditionalFormatting sqref="D100">
    <cfRule type="expression" dxfId="134" priority="23">
      <formula>$D$100="Abstención"</formula>
    </cfRule>
    <cfRule type="expression" dxfId="133" priority="24">
      <formula>$D$100="No Razonable"</formula>
    </cfRule>
    <cfRule type="expression" dxfId="132" priority="25">
      <formula>$D$100="Con Salvedades"</formula>
    </cfRule>
    <cfRule type="expression" dxfId="131" priority="26">
      <formula>$D$100="Razonable"</formula>
    </cfRule>
  </conditionalFormatting>
  <conditionalFormatting sqref="G99">
    <cfRule type="expression" dxfId="130" priority="3">
      <formula>$D$99="Abstención"</formula>
    </cfRule>
    <cfRule type="containsText" dxfId="129" priority="4" operator="containsText" text="No Razonable">
      <formula>NOT(ISERROR(SEARCH("No Razonable",G99)))</formula>
    </cfRule>
    <cfRule type="containsText" dxfId="128" priority="5" operator="containsText" text="Con Salvedades">
      <formula>NOT(ISERROR(SEARCH("Con Salvedades",G99)))</formula>
    </cfRule>
    <cfRule type="expression" dxfId="127" priority="6">
      <formula>$D$99="Razonable"</formula>
    </cfRule>
  </conditionalFormatting>
  <conditionalFormatting sqref="H13">
    <cfRule type="cellIs" dxfId="126" priority="31" operator="equal">
      <formula>"INEXISTENTE"</formula>
    </cfRule>
    <cfRule type="cellIs" dxfId="125" priority="32" operator="equal">
      <formula>"INADECUADO"</formula>
    </cfRule>
    <cfRule type="cellIs" dxfId="124" priority="33" operator="equal">
      <formula>"PARCIALMENTE ADECUADO"</formula>
    </cfRule>
    <cfRule type="cellIs" dxfId="123" priority="34" operator="equal">
      <formula>"ADECUADO"</formula>
    </cfRule>
    <cfRule type="cellIs" dxfId="122" priority="35" operator="equal">
      <formula>"ERROR"</formula>
    </cfRule>
  </conditionalFormatting>
  <conditionalFormatting sqref="A2 C2">
    <cfRule type="cellIs" dxfId="121" priority="1" operator="equal">
      <formula>"ERROR"</formula>
    </cfRule>
  </conditionalFormatting>
  <dataValidations count="2">
    <dataValidation type="list" allowBlank="1" showInputMessage="1" showErrorMessage="1" sqref="L56">
      <formula1>#REF!</formula1>
    </dataValidation>
    <dataValidation type="custom" allowBlank="1" showInputMessage="1" showErrorMessage="1" sqref="K31:K33 K21:K26 K29">
      <formula1>#REF!&lt;=100%</formula1>
    </dataValidation>
  </dataValidations>
  <pageMargins left="0.7" right="0.7" top="0.75" bottom="0.75" header="0.3" footer="0.3"/>
  <pageSetup orientation="portrait" r:id="rId1"/>
  <ignoredErrors>
    <ignoredError sqref="G9:H11"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[5]LISTAS!#REF!</xm:f>
          </x14:formula1>
          <xm:sqref>L54</xm:sqref>
        </x14:dataValidation>
        <x14:dataValidation type="list" allowBlank="1" showInputMessage="1" showErrorMessage="1">
          <x14:formula1>
            <xm:f>'LISTAS PPTO'!$T$3:$T$10</xm:f>
          </x14:formula1>
          <xm:sqref>D38:D53</xm:sqref>
        </x14:dataValidation>
        <x14:dataValidation type="list" allowBlank="1" showInputMessage="1" showErrorMessage="1">
          <x14:formula1>
            <xm:f>'LISTAS PPTO'!$AJ$4:$AJ$77</xm:f>
          </x14:formula1>
          <xm:sqref>E38:F53</xm:sqref>
        </x14:dataValidation>
        <x14:dataValidation type="list" allowBlank="1" showInputMessage="1" showErrorMessage="1">
          <x14:formula1>
            <xm:f>'LISTAS PPTO'!$U$3:$U$22</xm:f>
          </x14:formula1>
          <xm:sqref>G38:G53</xm:sqref>
        </x14:dataValidation>
        <x14:dataValidation type="list" allowBlank="1" showInputMessage="1" showErrorMessage="1">
          <x14:formula1>
            <xm:f>'LISTAS PPTO'!$W$3:$W$13</xm:f>
          </x14:formula1>
          <xm:sqref>H38:H53</xm:sqref>
        </x14:dataValidation>
        <x14:dataValidation type="list" allowBlank="1" showInputMessage="1" showErrorMessage="1">
          <x14:formula1>
            <xm:f>'LISTAS PPTO'!$V$3:$V$11</xm:f>
          </x14:formula1>
          <xm:sqref>E71:E78 M38:M53</xm:sqref>
        </x14:dataValidation>
        <x14:dataValidation type="list" allowBlank="1" showInputMessage="1" showErrorMessage="1">
          <x14:formula1>
            <xm:f>'LISTAS PPTO'!$S$3:$S$26</xm:f>
          </x14:formula1>
          <xm:sqref>C38:C53</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W104"/>
  <sheetViews>
    <sheetView topLeftCell="AG1" zoomScale="70" zoomScaleNormal="70" workbookViewId="0">
      <selection activeCell="AW19" sqref="AW19"/>
    </sheetView>
  </sheetViews>
  <sheetFormatPr baseColWidth="10" defaultRowHeight="15" x14ac:dyDescent="0.25"/>
  <cols>
    <col min="2" max="2" width="11.42578125" customWidth="1"/>
    <col min="3" max="3" width="43.7109375" customWidth="1"/>
    <col min="4" max="4" width="66.140625" customWidth="1"/>
    <col min="6" max="6" width="89.140625" customWidth="1"/>
    <col min="7" max="7" width="30.42578125" bestFit="1" customWidth="1"/>
    <col min="8" max="8" width="51.28515625" customWidth="1"/>
    <col min="9" max="9" width="17.140625" customWidth="1"/>
    <col min="10" max="10" width="58.7109375" customWidth="1"/>
    <col min="12" max="12" width="16.42578125" customWidth="1"/>
    <col min="13" max="14" width="18.28515625" customWidth="1"/>
    <col min="15" max="15" width="15.7109375" customWidth="1"/>
    <col min="16" max="17" width="17.42578125" customWidth="1"/>
    <col min="19" max="19" width="41.42578125" customWidth="1"/>
    <col min="20" max="20" width="35.7109375" customWidth="1"/>
    <col min="21" max="21" width="35.28515625" customWidth="1"/>
    <col min="22" max="22" width="25" customWidth="1"/>
    <col min="23" max="23" width="18.140625" customWidth="1"/>
    <col min="24" max="24" width="19.28515625" customWidth="1"/>
    <col min="28" max="28" width="22.7109375" customWidth="1"/>
    <col min="29" max="29" width="16.7109375" customWidth="1"/>
    <col min="30" max="30" width="14.28515625" customWidth="1"/>
    <col min="31" max="31" width="11.42578125" customWidth="1"/>
    <col min="32" max="32" width="31.7109375" customWidth="1"/>
    <col min="33" max="33" width="11.42578125" customWidth="1"/>
    <col min="40" max="40" width="20.7109375" customWidth="1"/>
    <col min="48" max="48" width="36.85546875" customWidth="1"/>
    <col min="49" max="49" width="24" customWidth="1"/>
  </cols>
  <sheetData>
    <row r="1" spans="1:49" x14ac:dyDescent="0.25">
      <c r="A1" s="30"/>
      <c r="B1" s="30"/>
      <c r="C1" s="30"/>
      <c r="D1" s="30"/>
      <c r="E1" s="30"/>
      <c r="F1" s="30"/>
      <c r="G1" s="30"/>
      <c r="H1" s="30"/>
      <c r="I1" s="30"/>
      <c r="J1" s="30"/>
      <c r="K1" s="30"/>
      <c r="L1" s="30"/>
      <c r="M1" s="30"/>
      <c r="N1" s="30"/>
      <c r="O1" s="30"/>
      <c r="P1" s="30"/>
      <c r="Q1" s="30"/>
      <c r="R1" s="30"/>
      <c r="S1" s="30"/>
      <c r="T1" s="30"/>
      <c r="U1" s="30"/>
      <c r="V1" s="30"/>
      <c r="W1" s="30"/>
      <c r="X1" s="30"/>
      <c r="Y1" s="30"/>
      <c r="Z1" s="30"/>
      <c r="AA1" s="30"/>
      <c r="AB1" s="30"/>
      <c r="AC1" s="30"/>
      <c r="AD1" s="30"/>
      <c r="AE1" s="30"/>
      <c r="AF1" s="30"/>
      <c r="AG1" s="30"/>
    </row>
    <row r="2" spans="1:49" ht="63" customHeight="1" x14ac:dyDescent="0.25">
      <c r="A2" s="30"/>
      <c r="B2" s="786" t="s">
        <v>302</v>
      </c>
      <c r="C2" s="786" t="s">
        <v>303</v>
      </c>
      <c r="D2" s="786" t="s">
        <v>304</v>
      </c>
      <c r="E2" s="786"/>
      <c r="F2" s="786" t="s">
        <v>468</v>
      </c>
      <c r="G2" s="30" t="s">
        <v>469</v>
      </c>
      <c r="H2" s="30" t="s">
        <v>303</v>
      </c>
      <c r="I2" s="30" t="s">
        <v>509</v>
      </c>
      <c r="J2" s="30" t="s">
        <v>1431</v>
      </c>
      <c r="K2" s="30"/>
      <c r="L2" s="787" t="s">
        <v>159</v>
      </c>
      <c r="M2" s="788" t="s">
        <v>161</v>
      </c>
      <c r="N2" s="788" t="s">
        <v>1432</v>
      </c>
      <c r="O2" s="788" t="s">
        <v>160</v>
      </c>
      <c r="P2" s="788" t="s">
        <v>161</v>
      </c>
      <c r="Q2" s="788" t="s">
        <v>1433</v>
      </c>
      <c r="R2" s="30"/>
      <c r="S2" s="789" t="s">
        <v>1434</v>
      </c>
      <c r="T2" s="789" t="s">
        <v>1435</v>
      </c>
      <c r="U2" s="789" t="s">
        <v>1436</v>
      </c>
      <c r="V2" s="789" t="s">
        <v>1437</v>
      </c>
      <c r="W2" s="789" t="s">
        <v>1438</v>
      </c>
      <c r="X2" s="789" t="s">
        <v>1439</v>
      </c>
      <c r="Z2" s="254"/>
      <c r="AA2" s="271"/>
      <c r="AB2" s="1291" t="s">
        <v>200</v>
      </c>
      <c r="AC2" s="1291" t="s">
        <v>471</v>
      </c>
      <c r="AD2" s="1291"/>
      <c r="AE2" s="30"/>
      <c r="AF2" s="255" t="s">
        <v>472</v>
      </c>
      <c r="AG2" s="30"/>
      <c r="AH2" s="1815" t="s">
        <v>1440</v>
      </c>
      <c r="AI2" s="1815"/>
      <c r="AJ2" s="1815"/>
      <c r="AK2" s="1815"/>
      <c r="AL2" s="1815"/>
      <c r="AM2" s="1815"/>
      <c r="AN2" s="1815"/>
      <c r="AO2" s="1815" t="s">
        <v>1441</v>
      </c>
      <c r="AP2" s="1815"/>
      <c r="AQ2" s="1815"/>
      <c r="AR2" s="1815"/>
      <c r="AS2" s="1815"/>
      <c r="AT2" s="1815"/>
      <c r="AV2" s="790" t="s">
        <v>200</v>
      </c>
      <c r="AW2" s="790" t="s">
        <v>178</v>
      </c>
    </row>
    <row r="3" spans="1:49" ht="48" customHeight="1" x14ac:dyDescent="0.25">
      <c r="A3" s="30"/>
      <c r="B3" s="30">
        <v>100000</v>
      </c>
      <c r="C3" s="30" t="s">
        <v>306</v>
      </c>
      <c r="D3" s="30" t="s">
        <v>483</v>
      </c>
      <c r="E3" s="30"/>
      <c r="F3" s="30" t="s">
        <v>484</v>
      </c>
      <c r="G3" s="30" t="s">
        <v>485</v>
      </c>
      <c r="H3" s="30" t="s">
        <v>486</v>
      </c>
      <c r="I3" s="30"/>
      <c r="J3" s="791" t="s">
        <v>1442</v>
      </c>
      <c r="K3" s="792"/>
      <c r="L3" s="793">
        <v>5</v>
      </c>
      <c r="M3" s="794" t="s">
        <v>165</v>
      </c>
      <c r="N3" s="795">
        <v>0.3</v>
      </c>
      <c r="O3" s="796">
        <v>4</v>
      </c>
      <c r="P3" s="794" t="s">
        <v>165</v>
      </c>
      <c r="Q3" s="795">
        <v>0.3</v>
      </c>
      <c r="R3" s="30"/>
      <c r="S3" s="797" t="s">
        <v>1379</v>
      </c>
      <c r="T3" s="798" t="s">
        <v>470</v>
      </c>
      <c r="U3" s="799" t="s">
        <v>1443</v>
      </c>
      <c r="V3" s="800" t="s">
        <v>1444</v>
      </c>
      <c r="W3" s="801" t="s">
        <v>1355</v>
      </c>
      <c r="X3" s="802">
        <v>0</v>
      </c>
      <c r="Z3" s="254"/>
      <c r="AA3" s="271"/>
      <c r="AB3" s="1291"/>
      <c r="AC3" s="261" t="s">
        <v>488</v>
      </c>
      <c r="AD3" s="261" t="s">
        <v>489</v>
      </c>
      <c r="AF3" s="262" t="s">
        <v>470</v>
      </c>
      <c r="AG3" s="30"/>
      <c r="AH3" s="803" t="s">
        <v>1445</v>
      </c>
      <c r="AO3" s="803" t="s">
        <v>1445</v>
      </c>
      <c r="AV3" s="804" t="s">
        <v>1717</v>
      </c>
      <c r="AW3" s="804">
        <v>1</v>
      </c>
    </row>
    <row r="4" spans="1:49" ht="47.25" customHeight="1" x14ac:dyDescent="0.25">
      <c r="A4" s="30"/>
      <c r="B4" s="30">
        <v>110000</v>
      </c>
      <c r="C4" s="30" t="s">
        <v>308</v>
      </c>
      <c r="D4" s="30" t="s">
        <v>496</v>
      </c>
      <c r="E4" s="30"/>
      <c r="F4" s="30" t="s">
        <v>497</v>
      </c>
      <c r="G4" s="30" t="s">
        <v>485</v>
      </c>
      <c r="H4" s="30" t="s">
        <v>498</v>
      </c>
      <c r="I4" s="30"/>
      <c r="J4" s="791" t="s">
        <v>1446</v>
      </c>
      <c r="K4" s="792"/>
      <c r="L4">
        <v>6</v>
      </c>
      <c r="M4" s="794" t="s">
        <v>165</v>
      </c>
      <c r="N4" s="795">
        <v>0.3</v>
      </c>
      <c r="O4">
        <v>5</v>
      </c>
      <c r="P4" s="794" t="s">
        <v>165</v>
      </c>
      <c r="Q4" s="795">
        <v>0.3</v>
      </c>
      <c r="R4" s="30"/>
      <c r="S4" s="797" t="s">
        <v>1447</v>
      </c>
      <c r="T4" s="805" t="s">
        <v>500</v>
      </c>
      <c r="U4" s="799" t="s">
        <v>1383</v>
      </c>
      <c r="V4" s="800" t="s">
        <v>944</v>
      </c>
      <c r="W4" s="801" t="s">
        <v>1350</v>
      </c>
      <c r="X4" s="802">
        <v>0.05</v>
      </c>
      <c r="Z4" s="254"/>
      <c r="AA4" s="271"/>
      <c r="AB4" s="267" t="s">
        <v>499</v>
      </c>
      <c r="AC4" s="268">
        <v>0.75</v>
      </c>
      <c r="AD4" s="268">
        <v>1</v>
      </c>
      <c r="AE4" s="30"/>
      <c r="AF4" s="262" t="s">
        <v>500</v>
      </c>
      <c r="AG4" s="30"/>
      <c r="AH4" s="806" t="s">
        <v>1448</v>
      </c>
      <c r="AI4" s="803" t="s">
        <v>470</v>
      </c>
      <c r="AJ4" t="str">
        <f>CONCATENATE(AH4," ",AI4)</f>
        <v>O1 INGRESOS</v>
      </c>
      <c r="AL4" s="807"/>
      <c r="AM4" s="803"/>
      <c r="AO4" s="806">
        <v>41</v>
      </c>
      <c r="AP4" s="803" t="s">
        <v>470</v>
      </c>
      <c r="AQ4" t="str">
        <f>CONCATENATE(AO4," ",AP4)</f>
        <v>41 INGRESOS</v>
      </c>
      <c r="AV4" s="804" t="s">
        <v>1053</v>
      </c>
      <c r="AW4" s="804">
        <v>0.75</v>
      </c>
    </row>
    <row r="5" spans="1:49" ht="64.5" customHeight="1" x14ac:dyDescent="0.25">
      <c r="A5" s="30"/>
      <c r="B5" s="30">
        <v>12000</v>
      </c>
      <c r="C5" s="30" t="s">
        <v>310</v>
      </c>
      <c r="D5" s="30" t="s">
        <v>502</v>
      </c>
      <c r="E5" s="30"/>
      <c r="F5" s="30" t="s">
        <v>307</v>
      </c>
      <c r="G5" s="30" t="s">
        <v>504</v>
      </c>
      <c r="H5" s="30" t="s">
        <v>496</v>
      </c>
      <c r="I5" s="808" t="s">
        <v>1449</v>
      </c>
      <c r="J5" s="791" t="s">
        <v>1450</v>
      </c>
      <c r="K5" s="30"/>
      <c r="L5" s="793">
        <v>7</v>
      </c>
      <c r="M5" s="794" t="s">
        <v>165</v>
      </c>
      <c r="N5" s="795">
        <v>0.3</v>
      </c>
      <c r="O5" s="796">
        <v>6</v>
      </c>
      <c r="P5" s="794" t="s">
        <v>165</v>
      </c>
      <c r="Q5" s="795">
        <v>0.3</v>
      </c>
      <c r="R5" s="30"/>
      <c r="S5" s="797" t="s">
        <v>1451</v>
      </c>
      <c r="T5" s="798" t="s">
        <v>823</v>
      </c>
      <c r="U5" s="799" t="s">
        <v>1375</v>
      </c>
      <c r="V5" s="800" t="s">
        <v>1362</v>
      </c>
      <c r="W5" s="801" t="s">
        <v>1366</v>
      </c>
      <c r="X5" s="802">
        <v>0.1</v>
      </c>
      <c r="Y5" s="271"/>
      <c r="Z5" s="254"/>
      <c r="AA5" s="271"/>
      <c r="AB5" s="272" t="s">
        <v>289</v>
      </c>
      <c r="AC5" s="268">
        <v>0.65</v>
      </c>
      <c r="AD5" s="268">
        <v>0.75</v>
      </c>
      <c r="AE5" s="30"/>
      <c r="AF5" s="262" t="s">
        <v>506</v>
      </c>
      <c r="AG5" s="30"/>
      <c r="AH5" s="806" t="s">
        <v>1452</v>
      </c>
      <c r="AI5" s="803" t="s">
        <v>1453</v>
      </c>
      <c r="AJ5" t="str">
        <f t="shared" ref="AJ5:AJ68" si="0">CONCATENATE(AH5," ",AI5)</f>
        <v>O10 DISPONIBILIDAD INICIAL</v>
      </c>
      <c r="AL5" s="806"/>
      <c r="AM5" s="803"/>
      <c r="AO5" s="806">
        <v>410</v>
      </c>
      <c r="AP5" s="803" t="s">
        <v>1453</v>
      </c>
      <c r="AQ5" t="str">
        <f t="shared" ref="AQ5:AQ68" si="1">CONCATENATE(AO5," ",AP5)</f>
        <v>410 DISPONIBILIDAD INICIAL</v>
      </c>
      <c r="AV5" s="804" t="s">
        <v>1454</v>
      </c>
      <c r="AW5" s="804">
        <v>0</v>
      </c>
    </row>
    <row r="6" spans="1:49" ht="45" customHeight="1" x14ac:dyDescent="0.25">
      <c r="A6" s="30"/>
      <c r="B6" s="30">
        <v>120000</v>
      </c>
      <c r="C6" s="30" t="s">
        <v>312</v>
      </c>
      <c r="D6" s="30" t="s">
        <v>511</v>
      </c>
      <c r="E6" s="30"/>
      <c r="F6" s="30" t="s">
        <v>512</v>
      </c>
      <c r="G6" s="30" t="s">
        <v>513</v>
      </c>
      <c r="H6" s="30" t="s">
        <v>496</v>
      </c>
      <c r="I6" s="808" t="s">
        <v>1449</v>
      </c>
      <c r="J6" s="30"/>
      <c r="K6" s="30"/>
      <c r="L6">
        <v>8</v>
      </c>
      <c r="M6" s="794" t="s">
        <v>165</v>
      </c>
      <c r="N6" s="795">
        <v>0.3</v>
      </c>
      <c r="O6" s="809">
        <v>7</v>
      </c>
      <c r="P6" s="794" t="s">
        <v>165</v>
      </c>
      <c r="Q6" s="795">
        <v>0.3</v>
      </c>
      <c r="R6" s="30"/>
      <c r="S6" s="797" t="s">
        <v>1455</v>
      </c>
      <c r="T6" s="798" t="s">
        <v>826</v>
      </c>
      <c r="U6" s="810" t="s">
        <v>1349</v>
      </c>
      <c r="V6" s="800" t="s">
        <v>1378</v>
      </c>
      <c r="W6" s="801" t="s">
        <v>1384</v>
      </c>
      <c r="X6" s="802">
        <v>0.15</v>
      </c>
      <c r="Y6" s="271"/>
      <c r="Z6" s="254"/>
      <c r="AA6" s="271"/>
      <c r="AB6" s="267" t="s">
        <v>514</v>
      </c>
      <c r="AC6" s="268">
        <v>0</v>
      </c>
      <c r="AD6" s="268">
        <v>0.65</v>
      </c>
      <c r="AE6" s="30"/>
      <c r="AF6" s="262" t="s">
        <v>515</v>
      </c>
      <c r="AG6" s="30"/>
      <c r="AH6" s="806" t="s">
        <v>1456</v>
      </c>
      <c r="AI6" t="s">
        <v>1457</v>
      </c>
      <c r="AJ6" t="str">
        <f t="shared" si="0"/>
        <v>O1002 Bancos</v>
      </c>
      <c r="AL6" s="806"/>
      <c r="AM6" s="803"/>
      <c r="AO6" s="806">
        <v>41002</v>
      </c>
      <c r="AP6" t="s">
        <v>1457</v>
      </c>
      <c r="AQ6" t="str">
        <f t="shared" si="1"/>
        <v>41002 Bancos</v>
      </c>
      <c r="AV6" s="804" t="s">
        <v>1718</v>
      </c>
      <c r="AW6" s="804">
        <v>0</v>
      </c>
    </row>
    <row r="7" spans="1:49" ht="50.25" customHeight="1" x14ac:dyDescent="0.25">
      <c r="A7" s="30"/>
      <c r="B7" s="30">
        <v>12101</v>
      </c>
      <c r="C7" s="30" t="s">
        <v>314</v>
      </c>
      <c r="D7" s="30" t="s">
        <v>486</v>
      </c>
      <c r="E7" s="30"/>
      <c r="F7" s="30" t="s">
        <v>517</v>
      </c>
      <c r="G7" s="30" t="s">
        <v>513</v>
      </c>
      <c r="H7" s="30" t="s">
        <v>496</v>
      </c>
      <c r="I7" s="808" t="s">
        <v>1449</v>
      </c>
      <c r="J7" s="30"/>
      <c r="K7" s="30"/>
      <c r="L7" s="793">
        <v>9</v>
      </c>
      <c r="M7" s="794" t="s">
        <v>165</v>
      </c>
      <c r="N7" s="795">
        <v>0.3</v>
      </c>
      <c r="O7" s="796">
        <v>8</v>
      </c>
      <c r="P7" s="811" t="s">
        <v>166</v>
      </c>
      <c r="Q7" s="795">
        <v>0.25</v>
      </c>
      <c r="R7" s="30"/>
      <c r="S7" s="797" t="s">
        <v>1458</v>
      </c>
      <c r="T7" s="798" t="s">
        <v>828</v>
      </c>
      <c r="U7" s="810" t="s">
        <v>1459</v>
      </c>
      <c r="V7" s="800" t="s">
        <v>1381</v>
      </c>
      <c r="W7" s="801" t="s">
        <v>1360</v>
      </c>
      <c r="X7" s="802">
        <v>0.15</v>
      </c>
      <c r="Y7" s="271"/>
      <c r="Z7" s="254"/>
      <c r="AA7" s="271"/>
      <c r="AB7" s="267" t="s">
        <v>518</v>
      </c>
      <c r="AC7" s="1292" t="s">
        <v>519</v>
      </c>
      <c r="AD7" s="1292"/>
      <c r="AE7" s="30"/>
      <c r="AF7" s="278" t="s">
        <v>520</v>
      </c>
      <c r="AG7" s="30"/>
      <c r="AH7" s="812" t="s">
        <v>1460</v>
      </c>
      <c r="AI7" t="s">
        <v>1461</v>
      </c>
      <c r="AJ7" t="str">
        <f t="shared" si="0"/>
        <v>O1003 Inversiones Temporales</v>
      </c>
      <c r="AL7" s="806"/>
      <c r="AO7" s="812">
        <v>41003</v>
      </c>
      <c r="AP7" t="s">
        <v>1461</v>
      </c>
      <c r="AQ7" t="str">
        <f t="shared" si="1"/>
        <v>41003 Inversiones Temporales</v>
      </c>
      <c r="AV7" s="804" t="s">
        <v>1462</v>
      </c>
      <c r="AW7" s="804">
        <v>0</v>
      </c>
    </row>
    <row r="8" spans="1:49" ht="48" customHeight="1" x14ac:dyDescent="0.25">
      <c r="A8" s="30"/>
      <c r="B8" s="30">
        <v>12102</v>
      </c>
      <c r="C8" s="30" t="s">
        <v>316</v>
      </c>
      <c r="D8" s="30" t="s">
        <v>525</v>
      </c>
      <c r="E8" s="30"/>
      <c r="F8" s="30" t="s">
        <v>526</v>
      </c>
      <c r="G8" s="30" t="s">
        <v>513</v>
      </c>
      <c r="H8" s="30" t="s">
        <v>496</v>
      </c>
      <c r="I8" s="30"/>
      <c r="J8" s="30"/>
      <c r="K8" s="30"/>
      <c r="L8" s="813">
        <v>10</v>
      </c>
      <c r="M8" s="811" t="s">
        <v>166</v>
      </c>
      <c r="N8" s="795">
        <v>0.25</v>
      </c>
      <c r="O8" s="809">
        <v>9</v>
      </c>
      <c r="P8" s="811" t="s">
        <v>166</v>
      </c>
      <c r="Q8" s="795">
        <v>0.25</v>
      </c>
      <c r="R8" s="30"/>
      <c r="S8" s="797" t="s">
        <v>1354</v>
      </c>
      <c r="T8" s="798" t="s">
        <v>827</v>
      </c>
      <c r="U8" s="799" t="s">
        <v>1380</v>
      </c>
      <c r="V8" s="800" t="s">
        <v>1404</v>
      </c>
      <c r="W8" s="801" t="s">
        <v>1463</v>
      </c>
      <c r="X8" s="802">
        <v>0.15</v>
      </c>
      <c r="Y8" s="271"/>
      <c r="Z8" s="254"/>
      <c r="AA8" s="271"/>
      <c r="AB8" s="271"/>
      <c r="AC8" s="271"/>
      <c r="AD8" s="271"/>
      <c r="AE8" s="30"/>
      <c r="AF8" s="278" t="s">
        <v>527</v>
      </c>
      <c r="AG8" s="30"/>
      <c r="AH8" s="807" t="s">
        <v>1464</v>
      </c>
      <c r="AI8" s="803" t="s">
        <v>1465</v>
      </c>
      <c r="AJ8" t="str">
        <f t="shared" si="0"/>
        <v>O11 INGRESOS CORRIENTES</v>
      </c>
      <c r="AL8" s="806"/>
      <c r="AO8" s="807">
        <v>411</v>
      </c>
      <c r="AP8" s="803" t="s">
        <v>1465</v>
      </c>
      <c r="AQ8" t="str">
        <f t="shared" si="1"/>
        <v>411 INGRESOS CORRIENTES</v>
      </c>
      <c r="AV8" s="804" t="s">
        <v>518</v>
      </c>
      <c r="AW8" s="804">
        <v>0</v>
      </c>
    </row>
    <row r="9" spans="1:49" ht="59.25" customHeight="1" x14ac:dyDescent="0.25">
      <c r="A9" s="30"/>
      <c r="B9" s="30">
        <v>12103</v>
      </c>
      <c r="C9" s="30" t="s">
        <v>318</v>
      </c>
      <c r="D9" s="30" t="s">
        <v>530</v>
      </c>
      <c r="E9" s="30"/>
      <c r="F9" s="30" t="s">
        <v>531</v>
      </c>
      <c r="G9" s="30" t="s">
        <v>485</v>
      </c>
      <c r="H9" s="30" t="s">
        <v>532</v>
      </c>
      <c r="I9" s="30"/>
      <c r="J9" s="30"/>
      <c r="K9" s="30"/>
      <c r="L9" s="793">
        <v>11</v>
      </c>
      <c r="M9" s="811" t="s">
        <v>166</v>
      </c>
      <c r="N9" s="795">
        <v>0.25</v>
      </c>
      <c r="O9" s="796">
        <v>10</v>
      </c>
      <c r="P9" s="811" t="s">
        <v>166</v>
      </c>
      <c r="Q9" s="795">
        <v>0.25</v>
      </c>
      <c r="R9" s="30"/>
      <c r="S9" s="797" t="s">
        <v>1466</v>
      </c>
      <c r="T9" s="798" t="s">
        <v>520</v>
      </c>
      <c r="U9" s="814" t="s">
        <v>1467</v>
      </c>
      <c r="V9" s="800" t="s">
        <v>1405</v>
      </c>
      <c r="W9" s="801" t="s">
        <v>1376</v>
      </c>
      <c r="X9" s="802">
        <v>0.15</v>
      </c>
      <c r="Y9" s="271"/>
      <c r="Z9" s="254"/>
      <c r="AA9" s="271"/>
      <c r="AB9" s="271"/>
      <c r="AC9" s="271"/>
      <c r="AD9" s="271"/>
      <c r="AE9" s="30"/>
      <c r="AF9" s="30"/>
      <c r="AG9" s="30"/>
      <c r="AH9" s="807" t="s">
        <v>1468</v>
      </c>
      <c r="AI9" t="s">
        <v>1469</v>
      </c>
      <c r="AJ9" t="str">
        <f t="shared" si="0"/>
        <v>O1101 Tributarios</v>
      </c>
      <c r="AO9" s="807">
        <v>41101</v>
      </c>
      <c r="AP9" t="s">
        <v>1469</v>
      </c>
      <c r="AQ9" t="str">
        <f t="shared" si="1"/>
        <v>41101 Tributarios</v>
      </c>
      <c r="AV9" s="804" t="s">
        <v>1549</v>
      </c>
      <c r="AW9" s="804" t="s">
        <v>1549</v>
      </c>
    </row>
    <row r="10" spans="1:49" ht="58.5" customHeight="1" x14ac:dyDescent="0.25">
      <c r="A10" s="30"/>
      <c r="B10" s="30">
        <v>12104</v>
      </c>
      <c r="C10" s="30" t="s">
        <v>320</v>
      </c>
      <c r="D10" s="30" t="s">
        <v>535</v>
      </c>
      <c r="E10" s="30"/>
      <c r="F10" s="30" t="s">
        <v>536</v>
      </c>
      <c r="G10" s="30" t="s">
        <v>513</v>
      </c>
      <c r="H10" s="30" t="s">
        <v>496</v>
      </c>
      <c r="I10" s="808" t="s">
        <v>1449</v>
      </c>
      <c r="J10" s="30"/>
      <c r="K10" s="30"/>
      <c r="L10" s="813">
        <v>12</v>
      </c>
      <c r="M10" s="811" t="s">
        <v>166</v>
      </c>
      <c r="N10" s="795">
        <v>0.25</v>
      </c>
      <c r="O10" s="809">
        <v>11</v>
      </c>
      <c r="P10" s="811" t="s">
        <v>166</v>
      </c>
      <c r="Q10" s="795">
        <v>0.25</v>
      </c>
      <c r="R10" s="30"/>
      <c r="S10" s="797" t="s">
        <v>1470</v>
      </c>
      <c r="T10" s="798" t="s">
        <v>527</v>
      </c>
      <c r="U10" s="810" t="s">
        <v>1471</v>
      </c>
      <c r="V10" s="800" t="s">
        <v>1472</v>
      </c>
      <c r="W10" s="801" t="s">
        <v>1473</v>
      </c>
      <c r="X10" s="802">
        <v>0.15</v>
      </c>
      <c r="Y10" s="271"/>
      <c r="Z10" s="254"/>
      <c r="AA10" s="271"/>
      <c r="AB10" s="271"/>
      <c r="AC10" s="271"/>
      <c r="AD10" s="271"/>
      <c r="AE10" s="30"/>
      <c r="AF10" s="30"/>
      <c r="AG10" s="30"/>
      <c r="AH10" s="807" t="s">
        <v>1474</v>
      </c>
      <c r="AI10" t="s">
        <v>1475</v>
      </c>
      <c r="AJ10" t="str">
        <f t="shared" si="0"/>
        <v>O1102 No Tributarios</v>
      </c>
      <c r="AO10" s="807">
        <v>41102</v>
      </c>
      <c r="AP10" t="s">
        <v>1475</v>
      </c>
      <c r="AQ10" t="str">
        <f t="shared" si="1"/>
        <v>41102 No Tributarios</v>
      </c>
    </row>
    <row r="11" spans="1:49" ht="48.75" customHeight="1" x14ac:dyDescent="0.25">
      <c r="A11" s="30"/>
      <c r="B11" s="30">
        <v>12105</v>
      </c>
      <c r="C11" s="30" t="s">
        <v>322</v>
      </c>
      <c r="D11" s="30" t="s">
        <v>539</v>
      </c>
      <c r="E11" s="30"/>
      <c r="F11" s="30" t="s">
        <v>540</v>
      </c>
      <c r="G11" s="30" t="s">
        <v>513</v>
      </c>
      <c r="H11" s="30" t="s">
        <v>541</v>
      </c>
      <c r="I11" s="808"/>
      <c r="J11" s="30"/>
      <c r="K11" s="30"/>
      <c r="L11" s="793">
        <v>13</v>
      </c>
      <c r="M11" s="811" t="s">
        <v>166</v>
      </c>
      <c r="N11" s="795">
        <v>0.25</v>
      </c>
      <c r="O11" s="796">
        <v>12</v>
      </c>
      <c r="P11" s="794" t="s">
        <v>167</v>
      </c>
      <c r="Q11" s="794">
        <v>0.2</v>
      </c>
      <c r="R11" s="30"/>
      <c r="S11" s="797" t="s">
        <v>1365</v>
      </c>
      <c r="U11" s="810" t="s">
        <v>1476</v>
      </c>
      <c r="V11" s="800" t="s">
        <v>1477</v>
      </c>
      <c r="W11" s="801" t="s">
        <v>1478</v>
      </c>
      <c r="X11" s="802">
        <v>0.15</v>
      </c>
      <c r="Y11" s="271"/>
      <c r="Z11" s="254"/>
      <c r="AA11" s="271"/>
      <c r="AB11" s="271"/>
      <c r="AC11" s="271"/>
      <c r="AD11" s="271"/>
      <c r="AE11" s="30"/>
      <c r="AF11" s="30"/>
      <c r="AG11" s="30"/>
      <c r="AH11" s="806" t="s">
        <v>1479</v>
      </c>
      <c r="AI11" s="803" t="s">
        <v>1480</v>
      </c>
      <c r="AJ11" t="str">
        <f t="shared" si="0"/>
        <v>O12 RECURSOS DE CAPITAL</v>
      </c>
      <c r="AL11" s="807"/>
      <c r="AM11" s="803"/>
      <c r="AO11" s="806">
        <v>412</v>
      </c>
      <c r="AP11" s="803" t="s">
        <v>1480</v>
      </c>
      <c r="AQ11" t="str">
        <f t="shared" si="1"/>
        <v>412 RECURSOS DE CAPITAL</v>
      </c>
    </row>
    <row r="12" spans="1:49" ht="43.5" customHeight="1" x14ac:dyDescent="0.25">
      <c r="A12" s="30"/>
      <c r="B12" s="30">
        <v>12106</v>
      </c>
      <c r="C12" s="30" t="s">
        <v>324</v>
      </c>
      <c r="D12" s="30" t="s">
        <v>545</v>
      </c>
      <c r="E12" s="30"/>
      <c r="F12" s="30" t="s">
        <v>546</v>
      </c>
      <c r="G12" s="30" t="s">
        <v>513</v>
      </c>
      <c r="H12" s="30" t="s">
        <v>547</v>
      </c>
      <c r="I12" s="808" t="s">
        <v>1449</v>
      </c>
      <c r="J12" s="30"/>
      <c r="K12" s="30"/>
      <c r="L12" s="813">
        <v>14</v>
      </c>
      <c r="M12" s="811" t="s">
        <v>166</v>
      </c>
      <c r="N12" s="795">
        <v>0.25</v>
      </c>
      <c r="O12" s="809">
        <v>13</v>
      </c>
      <c r="P12" s="794" t="s">
        <v>167</v>
      </c>
      <c r="Q12" s="794">
        <v>0.2</v>
      </c>
      <c r="R12" s="30"/>
      <c r="S12" s="797" t="s">
        <v>1481</v>
      </c>
      <c r="T12" s="798"/>
      <c r="U12" s="815" t="s">
        <v>1482</v>
      </c>
      <c r="V12" s="30"/>
      <c r="W12" s="801" t="s">
        <v>1483</v>
      </c>
      <c r="X12" s="271"/>
      <c r="Y12" s="271"/>
      <c r="Z12" s="254"/>
      <c r="AA12" s="271"/>
      <c r="AB12" s="271"/>
      <c r="AC12" s="271"/>
      <c r="AD12" s="271"/>
      <c r="AE12" s="30"/>
      <c r="AF12" s="30"/>
      <c r="AG12" s="30"/>
      <c r="AH12" t="s">
        <v>1484</v>
      </c>
      <c r="AI12" t="s">
        <v>1485</v>
      </c>
      <c r="AJ12" t="str">
        <f t="shared" si="0"/>
        <v>O1201 Disposición de activos</v>
      </c>
      <c r="AL12" s="807"/>
      <c r="AO12" s="807">
        <v>41201</v>
      </c>
      <c r="AP12" t="s">
        <v>1485</v>
      </c>
      <c r="AQ12" t="str">
        <f t="shared" si="1"/>
        <v>41201 Disposición de activos</v>
      </c>
      <c r="AV12" t="s">
        <v>1760</v>
      </c>
      <c r="AW12" t="s">
        <v>1740</v>
      </c>
    </row>
    <row r="13" spans="1:49" ht="40.5" customHeight="1" x14ac:dyDescent="0.25">
      <c r="A13" s="30"/>
      <c r="B13" s="30">
        <v>12107</v>
      </c>
      <c r="C13" s="30" t="s">
        <v>326</v>
      </c>
      <c r="D13" s="30" t="s">
        <v>548</v>
      </c>
      <c r="E13" s="30"/>
      <c r="F13" s="30" t="s">
        <v>549</v>
      </c>
      <c r="G13" s="30" t="s">
        <v>513</v>
      </c>
      <c r="H13" s="30" t="s">
        <v>550</v>
      </c>
      <c r="I13" s="30"/>
      <c r="J13" s="30"/>
      <c r="K13" s="30"/>
      <c r="L13" s="793">
        <v>15</v>
      </c>
      <c r="M13" s="794" t="s">
        <v>167</v>
      </c>
      <c r="N13" s="794">
        <v>0.2</v>
      </c>
      <c r="O13" s="796">
        <v>14</v>
      </c>
      <c r="P13" s="794" t="s">
        <v>167</v>
      </c>
      <c r="Q13" s="794">
        <v>0.2</v>
      </c>
      <c r="R13" s="30"/>
      <c r="S13" s="797" t="s">
        <v>1382</v>
      </c>
      <c r="U13" s="815" t="s">
        <v>1486</v>
      </c>
      <c r="V13" s="30"/>
      <c r="W13" s="801" t="s">
        <v>1487</v>
      </c>
      <c r="X13" s="271"/>
      <c r="Y13" s="271"/>
      <c r="Z13" s="254"/>
      <c r="AA13" s="271"/>
      <c r="AB13" s="271"/>
      <c r="AC13" s="271"/>
      <c r="AD13" s="271"/>
      <c r="AE13" s="30"/>
      <c r="AF13" s="30"/>
      <c r="AG13" s="30"/>
      <c r="AH13" t="s">
        <v>1488</v>
      </c>
      <c r="AI13" t="s">
        <v>1489</v>
      </c>
      <c r="AJ13" t="str">
        <f t="shared" si="0"/>
        <v>O1202 Excedentes financieros</v>
      </c>
      <c r="AL13" s="807"/>
      <c r="AO13" s="807">
        <v>41202</v>
      </c>
      <c r="AP13" t="s">
        <v>1489</v>
      </c>
      <c r="AQ13" t="str">
        <f t="shared" si="1"/>
        <v>41202 Excedentes financieros</v>
      </c>
      <c r="AW13" t="s">
        <v>1741</v>
      </c>
    </row>
    <row r="14" spans="1:49" ht="46.5" customHeight="1" x14ac:dyDescent="0.25">
      <c r="A14" s="30"/>
      <c r="B14" s="30">
        <v>12108</v>
      </c>
      <c r="C14" s="30" t="s">
        <v>328</v>
      </c>
      <c r="D14" s="30" t="s">
        <v>551</v>
      </c>
      <c r="E14" s="30"/>
      <c r="F14" s="285" t="s">
        <v>1490</v>
      </c>
      <c r="G14" s="30" t="s">
        <v>513</v>
      </c>
      <c r="H14" s="30" t="s">
        <v>483</v>
      </c>
      <c r="I14" s="808" t="s">
        <v>1449</v>
      </c>
      <c r="J14" s="30"/>
      <c r="K14" s="30"/>
      <c r="L14" s="813">
        <v>16</v>
      </c>
      <c r="M14" s="794" t="s">
        <v>167</v>
      </c>
      <c r="N14" s="794">
        <v>0.2</v>
      </c>
      <c r="O14" s="809">
        <v>15</v>
      </c>
      <c r="P14" s="794" t="s">
        <v>167</v>
      </c>
      <c r="Q14" s="794">
        <v>0.2</v>
      </c>
      <c r="R14" s="30"/>
      <c r="S14" s="797" t="s">
        <v>1491</v>
      </c>
      <c r="U14" s="815" t="s">
        <v>1492</v>
      </c>
      <c r="V14" s="30"/>
      <c r="W14" s="801"/>
      <c r="X14" s="271"/>
      <c r="Y14" s="271"/>
      <c r="Z14" s="254"/>
      <c r="AA14" s="271"/>
      <c r="AB14" s="271"/>
      <c r="AC14" s="271"/>
      <c r="AD14" s="271"/>
      <c r="AE14" s="30"/>
      <c r="AF14" s="30"/>
      <c r="AG14" s="30"/>
      <c r="AH14" t="s">
        <v>1493</v>
      </c>
      <c r="AI14" t="s">
        <v>1494</v>
      </c>
      <c r="AJ14" t="str">
        <f t="shared" si="0"/>
        <v>O1203 Dividendos y utilidades por otras Inversiones de CAPITAL</v>
      </c>
      <c r="AL14" s="807"/>
      <c r="AO14" s="807">
        <v>41203</v>
      </c>
      <c r="AP14" t="s">
        <v>1494</v>
      </c>
      <c r="AQ14" t="str">
        <f t="shared" si="1"/>
        <v>41203 Dividendos y utilidades por otras Inversiones de CAPITAL</v>
      </c>
    </row>
    <row r="15" spans="1:49" ht="46.5" customHeight="1" x14ac:dyDescent="0.25">
      <c r="A15" s="30"/>
      <c r="B15" s="30">
        <v>12109</v>
      </c>
      <c r="C15" s="30" t="s">
        <v>330</v>
      </c>
      <c r="D15" s="30" t="s">
        <v>553</v>
      </c>
      <c r="E15" s="30"/>
      <c r="F15" s="30" t="s">
        <v>554</v>
      </c>
      <c r="G15" s="30" t="s">
        <v>513</v>
      </c>
      <c r="H15" s="30" t="s">
        <v>555</v>
      </c>
      <c r="I15" s="808" t="s">
        <v>1449</v>
      </c>
      <c r="J15" s="30"/>
      <c r="K15" s="30"/>
      <c r="L15" s="793">
        <v>17</v>
      </c>
      <c r="M15" s="794" t="s">
        <v>167</v>
      </c>
      <c r="N15" s="794">
        <v>0.2</v>
      </c>
      <c r="O15" s="796">
        <v>16</v>
      </c>
      <c r="P15" s="794" t="s">
        <v>167</v>
      </c>
      <c r="Q15" s="794">
        <v>0.2</v>
      </c>
      <c r="R15" s="30"/>
      <c r="S15" s="797" t="s">
        <v>1495</v>
      </c>
      <c r="U15" s="815" t="s">
        <v>1496</v>
      </c>
      <c r="V15" s="30"/>
      <c r="W15" s="30"/>
      <c r="X15" s="30"/>
      <c r="Y15" s="30"/>
      <c r="Z15" s="30"/>
      <c r="AA15" s="30"/>
      <c r="AB15" s="30"/>
      <c r="AC15" s="30"/>
      <c r="AD15" s="30"/>
      <c r="AE15" s="30"/>
      <c r="AF15" s="30"/>
      <c r="AG15" s="30"/>
      <c r="AH15" t="s">
        <v>1497</v>
      </c>
      <c r="AI15" t="s">
        <v>1498</v>
      </c>
      <c r="AJ15" t="str">
        <f t="shared" si="0"/>
        <v>O1205 Rendimientos financieros</v>
      </c>
      <c r="AL15" s="807"/>
      <c r="AO15" s="807">
        <v>41205</v>
      </c>
      <c r="AP15" t="s">
        <v>1498</v>
      </c>
      <c r="AQ15" t="str">
        <f t="shared" si="1"/>
        <v>41205 Rendimientos financieros</v>
      </c>
      <c r="AV15" t="s">
        <v>1763</v>
      </c>
      <c r="AW15" t="s">
        <v>1773</v>
      </c>
    </row>
    <row r="16" spans="1:49" ht="38.25" customHeight="1" x14ac:dyDescent="0.25">
      <c r="A16" s="30"/>
      <c r="B16" s="30">
        <v>12110</v>
      </c>
      <c r="C16" s="30" t="s">
        <v>332</v>
      </c>
      <c r="D16" s="30" t="s">
        <v>498</v>
      </c>
      <c r="E16" s="30"/>
      <c r="F16" s="30" t="s">
        <v>556</v>
      </c>
      <c r="G16" s="30" t="s">
        <v>513</v>
      </c>
      <c r="H16" s="30" t="s">
        <v>557</v>
      </c>
      <c r="I16" s="808" t="s">
        <v>1449</v>
      </c>
      <c r="J16" s="30"/>
      <c r="K16" s="30"/>
      <c r="L16" s="813">
        <v>18</v>
      </c>
      <c r="M16" s="794" t="s">
        <v>167</v>
      </c>
      <c r="N16" s="794">
        <v>0.2</v>
      </c>
      <c r="O16" s="30"/>
      <c r="P16" s="30"/>
      <c r="Q16" s="30"/>
      <c r="R16" s="30"/>
      <c r="S16" s="797" t="s">
        <v>1499</v>
      </c>
      <c r="U16" s="815" t="s">
        <v>1500</v>
      </c>
      <c r="V16" s="30"/>
      <c r="W16" s="30"/>
      <c r="X16" s="30"/>
      <c r="Y16" s="30"/>
      <c r="Z16" s="30"/>
      <c r="AA16" s="30"/>
      <c r="AB16" s="30"/>
      <c r="AC16" s="30"/>
      <c r="AD16" s="30"/>
      <c r="AE16" s="30"/>
      <c r="AF16" s="30"/>
      <c r="AG16" s="30"/>
      <c r="AH16" t="s">
        <v>1501</v>
      </c>
      <c r="AI16" t="s">
        <v>1502</v>
      </c>
      <c r="AJ16" t="str">
        <f t="shared" si="0"/>
        <v>O1206 RECURSOS de crédito externo</v>
      </c>
      <c r="AL16" s="807"/>
      <c r="AO16" s="807">
        <v>41206</v>
      </c>
      <c r="AP16" t="s">
        <v>1502</v>
      </c>
      <c r="AQ16" t="str">
        <f t="shared" si="1"/>
        <v>41206 RECURSOS de crédito externo</v>
      </c>
      <c r="AW16" t="s">
        <v>1774</v>
      </c>
    </row>
    <row r="17" spans="1:49" ht="28.5" customHeight="1" x14ac:dyDescent="0.25">
      <c r="A17" s="30"/>
      <c r="B17" s="30">
        <v>12111</v>
      </c>
      <c r="C17" s="30" t="s">
        <v>334</v>
      </c>
      <c r="D17" s="30" t="s">
        <v>532</v>
      </c>
      <c r="E17" s="30"/>
      <c r="F17" s="30" t="s">
        <v>558</v>
      </c>
      <c r="G17" s="30" t="s">
        <v>513</v>
      </c>
      <c r="H17" s="30" t="s">
        <v>559</v>
      </c>
      <c r="I17" s="808" t="s">
        <v>1449</v>
      </c>
      <c r="J17" s="30"/>
      <c r="K17" s="30"/>
      <c r="L17" s="793">
        <v>19</v>
      </c>
      <c r="M17" s="794" t="s">
        <v>167</v>
      </c>
      <c r="N17" s="794">
        <v>0.2</v>
      </c>
      <c r="O17" s="30"/>
      <c r="P17" s="30"/>
      <c r="Q17" s="30"/>
      <c r="R17" s="30"/>
      <c r="S17" s="797" t="s">
        <v>1370</v>
      </c>
      <c r="U17" s="815" t="s">
        <v>1503</v>
      </c>
      <c r="V17" s="30"/>
      <c r="W17" s="30"/>
      <c r="X17" s="30"/>
      <c r="Y17" s="30"/>
      <c r="Z17" s="30"/>
      <c r="AA17" s="30"/>
      <c r="AB17" s="30"/>
      <c r="AC17" s="30"/>
      <c r="AD17" s="30"/>
      <c r="AE17" s="30"/>
      <c r="AF17" s="30"/>
      <c r="AG17" s="30"/>
      <c r="AH17" t="s">
        <v>1504</v>
      </c>
      <c r="AI17" t="s">
        <v>1505</v>
      </c>
      <c r="AJ17" t="str">
        <f t="shared" si="0"/>
        <v>O1207 RECURSOS de crédito interno</v>
      </c>
      <c r="AL17" s="807"/>
      <c r="AO17" s="807">
        <v>41207</v>
      </c>
      <c r="AP17" t="s">
        <v>1505</v>
      </c>
      <c r="AQ17" t="str">
        <f t="shared" si="1"/>
        <v>41207 RECURSOS de crédito interno</v>
      </c>
      <c r="AW17" t="s">
        <v>1775</v>
      </c>
    </row>
    <row r="18" spans="1:49" ht="26.25" customHeight="1" x14ac:dyDescent="0.25">
      <c r="A18" s="30"/>
      <c r="B18" s="30">
        <v>12112</v>
      </c>
      <c r="C18" s="30" t="s">
        <v>336</v>
      </c>
      <c r="D18" s="30" t="s">
        <v>560</v>
      </c>
      <c r="E18" s="30"/>
      <c r="F18" s="30" t="s">
        <v>561</v>
      </c>
      <c r="G18" s="30" t="s">
        <v>485</v>
      </c>
      <c r="H18" s="30" t="s">
        <v>560</v>
      </c>
      <c r="I18" s="30"/>
      <c r="J18" s="30"/>
      <c r="K18" s="30"/>
      <c r="L18" s="813">
        <v>20</v>
      </c>
      <c r="M18" s="794" t="s">
        <v>167</v>
      </c>
      <c r="N18" s="794">
        <v>0.2</v>
      </c>
      <c r="O18" s="30"/>
      <c r="P18" s="30"/>
      <c r="Q18" s="30"/>
      <c r="R18" s="30"/>
      <c r="S18" s="797" t="s">
        <v>1506</v>
      </c>
      <c r="T18" s="460"/>
      <c r="U18" s="815" t="s">
        <v>1507</v>
      </c>
      <c r="V18" s="30"/>
      <c r="W18" s="30"/>
      <c r="X18" s="30"/>
      <c r="Y18" s="30"/>
      <c r="Z18" s="30"/>
      <c r="AA18" s="30"/>
      <c r="AB18" s="30"/>
      <c r="AC18" s="30"/>
      <c r="AD18" s="30"/>
      <c r="AE18" s="30"/>
      <c r="AF18" s="30"/>
      <c r="AG18" s="30"/>
      <c r="AH18" t="s">
        <v>1508</v>
      </c>
      <c r="AI18" t="s">
        <v>1509</v>
      </c>
      <c r="AJ18" t="str">
        <f t="shared" si="0"/>
        <v>O1208 Transferencias de CAPITAL</v>
      </c>
      <c r="AL18" s="807"/>
      <c r="AO18" s="807">
        <v>41208</v>
      </c>
      <c r="AP18" t="s">
        <v>1509</v>
      </c>
      <c r="AQ18" t="str">
        <f t="shared" si="1"/>
        <v>41208 Transferencias de CAPITAL</v>
      </c>
      <c r="AW18" t="s">
        <v>1776</v>
      </c>
    </row>
    <row r="19" spans="1:49" ht="26.25" customHeight="1" x14ac:dyDescent="0.25">
      <c r="A19" s="30"/>
      <c r="B19" s="30">
        <v>12113</v>
      </c>
      <c r="C19" s="30" t="s">
        <v>338</v>
      </c>
      <c r="D19" s="30" t="s">
        <v>562</v>
      </c>
      <c r="E19" s="30"/>
      <c r="F19" s="30" t="s">
        <v>563</v>
      </c>
      <c r="G19" s="30" t="s">
        <v>513</v>
      </c>
      <c r="H19" s="30" t="s">
        <v>557</v>
      </c>
      <c r="I19" s="808" t="s">
        <v>1449</v>
      </c>
      <c r="J19" s="30"/>
      <c r="K19" s="30"/>
      <c r="L19" s="30"/>
      <c r="M19" s="30"/>
      <c r="N19" s="30"/>
      <c r="O19" s="30"/>
      <c r="P19" s="30"/>
      <c r="Q19" s="30"/>
      <c r="R19" s="30"/>
      <c r="S19" s="797" t="s">
        <v>1510</v>
      </c>
      <c r="T19" s="460"/>
      <c r="U19" s="815" t="s">
        <v>1511</v>
      </c>
      <c r="V19" s="30"/>
      <c r="W19" s="30"/>
      <c r="X19" s="30"/>
      <c r="Y19" s="30"/>
      <c r="Z19" s="30"/>
      <c r="AA19" s="30"/>
      <c r="AB19" s="30"/>
      <c r="AC19" s="30"/>
      <c r="AD19" s="30"/>
      <c r="AE19" s="30"/>
      <c r="AF19" s="30"/>
      <c r="AG19" s="30"/>
      <c r="AH19" s="816" t="s">
        <v>1512</v>
      </c>
      <c r="AI19" t="s">
        <v>1513</v>
      </c>
      <c r="AJ19" t="str">
        <f t="shared" si="0"/>
        <v>O1209 Recuperación de cartera</v>
      </c>
      <c r="AL19" s="806"/>
      <c r="AM19" s="803"/>
      <c r="AO19" s="817">
        <v>41209</v>
      </c>
      <c r="AP19" t="s">
        <v>1513</v>
      </c>
      <c r="AQ19" t="str">
        <f t="shared" si="1"/>
        <v>41209 Recuperación de cartera</v>
      </c>
      <c r="AW19" t="s">
        <v>1777</v>
      </c>
    </row>
    <row r="20" spans="1:49" ht="36.75" customHeight="1" x14ac:dyDescent="0.25">
      <c r="A20" s="30"/>
      <c r="B20" s="30">
        <v>12114</v>
      </c>
      <c r="C20" s="30" t="s">
        <v>340</v>
      </c>
      <c r="D20" s="30" t="s">
        <v>564</v>
      </c>
      <c r="E20" s="30"/>
      <c r="F20" s="30" t="s">
        <v>565</v>
      </c>
      <c r="G20" s="30" t="s">
        <v>513</v>
      </c>
      <c r="H20" s="30" t="s">
        <v>511</v>
      </c>
      <c r="I20" s="808" t="s">
        <v>1449</v>
      </c>
      <c r="J20" s="30"/>
      <c r="K20" s="30"/>
      <c r="L20" s="30"/>
      <c r="M20" s="30"/>
      <c r="N20" s="30"/>
      <c r="O20" s="30"/>
      <c r="P20" s="30"/>
      <c r="Q20" s="30"/>
      <c r="R20" s="30"/>
      <c r="S20" s="797" t="s">
        <v>1514</v>
      </c>
      <c r="T20" s="460"/>
      <c r="U20" s="815" t="s">
        <v>1515</v>
      </c>
      <c r="V20" s="30"/>
      <c r="W20" s="30"/>
      <c r="X20" s="30"/>
      <c r="Y20" s="30"/>
      <c r="Z20" s="30"/>
      <c r="AA20" s="30"/>
      <c r="AB20" s="30"/>
      <c r="AC20" s="30"/>
      <c r="AD20" s="30"/>
      <c r="AE20" s="30"/>
      <c r="AF20" s="30"/>
      <c r="AG20" s="30"/>
      <c r="AH20" t="s">
        <v>1516</v>
      </c>
      <c r="AI20" t="s">
        <v>1517</v>
      </c>
      <c r="AJ20" t="str">
        <f t="shared" si="0"/>
        <v>O1210 RECURSOS del balance</v>
      </c>
      <c r="AL20" s="807"/>
      <c r="AO20" s="807">
        <v>41210</v>
      </c>
      <c r="AP20" t="s">
        <v>1517</v>
      </c>
      <c r="AQ20" t="str">
        <f t="shared" si="1"/>
        <v>41210 RECURSOS del balance</v>
      </c>
    </row>
    <row r="21" spans="1:49" ht="25.5" x14ac:dyDescent="0.25">
      <c r="A21" s="30"/>
      <c r="B21" s="30">
        <v>12115</v>
      </c>
      <c r="C21" s="30" t="s">
        <v>342</v>
      </c>
      <c r="D21" s="30" t="s">
        <v>566</v>
      </c>
      <c r="E21" s="30"/>
      <c r="F21" s="30" t="s">
        <v>567</v>
      </c>
      <c r="G21" s="30" t="s">
        <v>513</v>
      </c>
      <c r="H21" s="30" t="s">
        <v>568</v>
      </c>
      <c r="I21" s="808" t="s">
        <v>1449</v>
      </c>
      <c r="J21" s="30"/>
      <c r="K21" s="30"/>
      <c r="L21" s="30"/>
      <c r="M21" s="30"/>
      <c r="N21" s="30"/>
      <c r="O21" s="30"/>
      <c r="P21" s="30"/>
      <c r="Q21" s="30"/>
      <c r="R21" s="30"/>
      <c r="S21" s="797" t="s">
        <v>1518</v>
      </c>
      <c r="T21" s="460"/>
      <c r="U21" s="797" t="s">
        <v>1519</v>
      </c>
      <c r="V21" s="30"/>
      <c r="W21" s="30"/>
      <c r="X21" s="30"/>
      <c r="Y21" s="30"/>
      <c r="Z21" s="30"/>
      <c r="AA21" s="30"/>
      <c r="AB21" s="30"/>
      <c r="AC21" s="30"/>
      <c r="AD21" s="30"/>
      <c r="AE21" s="30"/>
      <c r="AF21" s="30"/>
      <c r="AG21" s="30"/>
      <c r="AH21" t="s">
        <v>1520</v>
      </c>
      <c r="AI21" t="s">
        <v>1521</v>
      </c>
      <c r="AJ21" t="str">
        <f t="shared" si="0"/>
        <v>O1211 Diferencial cambiario</v>
      </c>
      <c r="AL21" s="807"/>
      <c r="AO21" s="807">
        <v>41211</v>
      </c>
      <c r="AP21" t="s">
        <v>1521</v>
      </c>
      <c r="AQ21" t="str">
        <f t="shared" si="1"/>
        <v>41211 Diferencial cambiario</v>
      </c>
    </row>
    <row r="22" spans="1:49" ht="25.5" x14ac:dyDescent="0.25">
      <c r="A22" s="30"/>
      <c r="B22" s="30">
        <v>12116</v>
      </c>
      <c r="C22" s="30" t="s">
        <v>344</v>
      </c>
      <c r="D22" s="30" t="s">
        <v>569</v>
      </c>
      <c r="E22" s="30"/>
      <c r="F22" s="30" t="s">
        <v>570</v>
      </c>
      <c r="G22" s="30" t="s">
        <v>513</v>
      </c>
      <c r="H22" s="30" t="s">
        <v>496</v>
      </c>
      <c r="I22" s="808" t="s">
        <v>1449</v>
      </c>
      <c r="J22" s="30"/>
      <c r="K22" s="30"/>
      <c r="L22" s="30"/>
      <c r="M22" s="30"/>
      <c r="N22" s="30"/>
      <c r="O22" s="30"/>
      <c r="P22" s="30"/>
      <c r="Q22" s="30"/>
      <c r="R22" s="30"/>
      <c r="S22" s="797" t="s">
        <v>1347</v>
      </c>
      <c r="T22" s="460"/>
      <c r="U22" s="815" t="s">
        <v>1522</v>
      </c>
      <c r="V22" s="30"/>
      <c r="W22" s="30"/>
      <c r="X22" s="30"/>
      <c r="Y22" s="30"/>
      <c r="Z22" s="30"/>
      <c r="AA22" s="30"/>
      <c r="AB22" s="30"/>
      <c r="AC22" s="30"/>
      <c r="AD22" s="30"/>
      <c r="AE22" s="30"/>
      <c r="AF22" s="30"/>
      <c r="AG22" s="30"/>
      <c r="AH22" t="s">
        <v>1523</v>
      </c>
      <c r="AI22" t="s">
        <v>1524</v>
      </c>
      <c r="AJ22" t="str">
        <f t="shared" si="0"/>
        <v>O1212 Retiros FONPET</v>
      </c>
      <c r="AL22" s="807"/>
      <c r="AO22" s="807">
        <v>41212</v>
      </c>
      <c r="AP22" t="s">
        <v>1524</v>
      </c>
      <c r="AQ22" t="str">
        <f t="shared" si="1"/>
        <v>41212 Retiros FONPET</v>
      </c>
    </row>
    <row r="23" spans="1:49" ht="30.75" customHeight="1" x14ac:dyDescent="0.25">
      <c r="A23" s="30"/>
      <c r="B23" s="30">
        <v>12117</v>
      </c>
      <c r="C23" s="30" t="s">
        <v>346</v>
      </c>
      <c r="D23" s="30" t="s">
        <v>571</v>
      </c>
      <c r="E23" s="30"/>
      <c r="F23" s="30" t="s">
        <v>572</v>
      </c>
      <c r="G23" s="30" t="s">
        <v>513</v>
      </c>
      <c r="H23" s="30" t="s">
        <v>557</v>
      </c>
      <c r="I23" s="808" t="s">
        <v>1449</v>
      </c>
      <c r="J23" s="30"/>
      <c r="K23" s="30"/>
      <c r="L23" s="30"/>
      <c r="M23" s="30"/>
      <c r="N23" s="30"/>
      <c r="O23" s="30"/>
      <c r="P23" s="30"/>
      <c r="Q23" s="30"/>
      <c r="R23" s="30"/>
      <c r="S23" s="797" t="s">
        <v>1374</v>
      </c>
      <c r="T23" s="460"/>
      <c r="V23" s="30"/>
      <c r="W23" s="30"/>
      <c r="X23" s="30"/>
      <c r="Y23" s="30"/>
      <c r="Z23" s="30"/>
      <c r="AA23" s="30"/>
      <c r="AB23" s="30"/>
      <c r="AC23" s="30"/>
      <c r="AD23" s="30"/>
      <c r="AE23" s="30"/>
      <c r="AF23" s="30"/>
      <c r="AG23" s="30"/>
      <c r="AH23" t="s">
        <v>1525</v>
      </c>
      <c r="AI23" t="s">
        <v>1526</v>
      </c>
      <c r="AJ23" t="str">
        <f t="shared" si="0"/>
        <v>O1213 Reintegros y otros RECURSOS no apropiados</v>
      </c>
      <c r="AL23" s="807"/>
      <c r="AO23" s="807">
        <v>41213</v>
      </c>
      <c r="AP23" t="s">
        <v>1526</v>
      </c>
      <c r="AQ23" t="str">
        <f t="shared" si="1"/>
        <v>41213 Reintegros y otros RECURSOS no apropiados</v>
      </c>
    </row>
    <row r="24" spans="1:49" ht="25.5" x14ac:dyDescent="0.25">
      <c r="A24" s="30"/>
      <c r="B24" s="30">
        <v>12118</v>
      </c>
      <c r="C24" s="30" t="s">
        <v>348</v>
      </c>
      <c r="D24" s="30" t="s">
        <v>573</v>
      </c>
      <c r="E24" s="30"/>
      <c r="F24" s="30" t="s">
        <v>574</v>
      </c>
      <c r="G24" s="30" t="s">
        <v>513</v>
      </c>
      <c r="H24" s="30" t="s">
        <v>496</v>
      </c>
      <c r="I24" s="808" t="s">
        <v>1449</v>
      </c>
      <c r="J24" s="30"/>
      <c r="K24" s="30"/>
      <c r="L24" s="30"/>
      <c r="M24" s="30"/>
      <c r="N24" s="30"/>
      <c r="O24" s="30"/>
      <c r="P24" s="30"/>
      <c r="Q24" s="30"/>
      <c r="R24" s="30"/>
      <c r="S24" s="797" t="s">
        <v>1359</v>
      </c>
      <c r="T24" s="460"/>
      <c r="U24" s="815"/>
      <c r="V24" s="30"/>
      <c r="W24" s="30"/>
      <c r="X24" s="30"/>
      <c r="Y24" s="30"/>
      <c r="Z24" s="30"/>
      <c r="AA24" s="30"/>
      <c r="AB24" s="30"/>
      <c r="AC24" s="30"/>
      <c r="AD24" s="30"/>
      <c r="AE24" s="30"/>
      <c r="AF24" s="30"/>
      <c r="AG24" s="30"/>
      <c r="AH24" s="806" t="s">
        <v>1527</v>
      </c>
      <c r="AI24" s="803" t="s">
        <v>1528</v>
      </c>
      <c r="AJ24" t="str">
        <f t="shared" si="0"/>
        <v>O122 Transferencias</v>
      </c>
      <c r="AL24" s="807"/>
      <c r="AO24" s="806">
        <v>4122</v>
      </c>
      <c r="AP24" s="803" t="s">
        <v>1528</v>
      </c>
      <c r="AQ24" t="str">
        <f t="shared" si="1"/>
        <v>4122 Transferencias</v>
      </c>
    </row>
    <row r="25" spans="1:49" ht="25.5" x14ac:dyDescent="0.25">
      <c r="A25" s="30"/>
      <c r="B25" s="30">
        <v>12119</v>
      </c>
      <c r="C25" s="30" t="s">
        <v>350</v>
      </c>
      <c r="D25" s="30" t="s">
        <v>575</v>
      </c>
      <c r="E25" s="30"/>
      <c r="F25" s="30" t="s">
        <v>576</v>
      </c>
      <c r="G25" s="30" t="s">
        <v>485</v>
      </c>
      <c r="H25" s="30" t="s">
        <v>562</v>
      </c>
      <c r="I25" s="30"/>
      <c r="J25" s="30"/>
      <c r="K25" s="30"/>
      <c r="L25" s="30"/>
      <c r="M25" s="30"/>
      <c r="N25" s="30"/>
      <c r="O25" s="30"/>
      <c r="P25" s="30"/>
      <c r="Q25" s="30"/>
      <c r="R25" s="30"/>
      <c r="S25" s="797" t="s">
        <v>1736</v>
      </c>
      <c r="U25" s="815"/>
      <c r="V25" s="30"/>
      <c r="W25" s="30"/>
      <c r="X25" s="30"/>
      <c r="Y25" s="30"/>
      <c r="Z25" s="30"/>
      <c r="AA25" s="30"/>
      <c r="AB25" s="30"/>
      <c r="AC25" s="30"/>
      <c r="AD25" s="30"/>
      <c r="AE25" s="30"/>
      <c r="AF25" s="30"/>
      <c r="AG25" s="30"/>
      <c r="AH25" s="807" t="s">
        <v>1529</v>
      </c>
      <c r="AI25" t="s">
        <v>1530</v>
      </c>
      <c r="AJ25" t="str">
        <f t="shared" si="0"/>
        <v>O12201 Transferencias corrientes nacionales</v>
      </c>
      <c r="AL25" s="807"/>
      <c r="AO25" s="807">
        <v>412201</v>
      </c>
      <c r="AP25" t="s">
        <v>1530</v>
      </c>
      <c r="AQ25" t="str">
        <f t="shared" si="1"/>
        <v>412201 Transferencias corrientes nacionales</v>
      </c>
    </row>
    <row r="26" spans="1:49" ht="25.5" x14ac:dyDescent="0.25">
      <c r="A26" s="30"/>
      <c r="B26" s="30">
        <v>12120</v>
      </c>
      <c r="C26" s="30" t="s">
        <v>352</v>
      </c>
      <c r="D26" s="30" t="s">
        <v>577</v>
      </c>
      <c r="E26" s="30"/>
      <c r="F26" s="30" t="s">
        <v>578</v>
      </c>
      <c r="G26" s="30" t="s">
        <v>579</v>
      </c>
      <c r="H26" s="30" t="s">
        <v>580</v>
      </c>
      <c r="I26" s="808" t="s">
        <v>1449</v>
      </c>
      <c r="J26" s="30"/>
      <c r="K26" s="30"/>
      <c r="L26" s="30"/>
      <c r="M26" s="30"/>
      <c r="N26" s="30"/>
      <c r="O26" s="30"/>
      <c r="P26" s="30"/>
      <c r="Q26" s="30"/>
      <c r="R26" s="30"/>
      <c r="S26" s="797" t="s">
        <v>1737</v>
      </c>
      <c r="U26" s="815"/>
      <c r="V26" s="30"/>
      <c r="W26" s="30"/>
      <c r="X26" s="30"/>
      <c r="Y26" s="30"/>
      <c r="Z26" s="30"/>
      <c r="AA26" s="30"/>
      <c r="AB26" s="30"/>
      <c r="AC26" s="30"/>
      <c r="AD26" s="30"/>
      <c r="AE26" s="30"/>
      <c r="AF26" s="30"/>
      <c r="AG26" s="30"/>
      <c r="AH26" s="807" t="s">
        <v>1531</v>
      </c>
      <c r="AI26" t="s">
        <v>1532</v>
      </c>
      <c r="AJ26" t="str">
        <f t="shared" si="0"/>
        <v>O12202 Departamentales</v>
      </c>
      <c r="AL26" s="807"/>
      <c r="AO26" s="807">
        <v>412202</v>
      </c>
      <c r="AP26" t="s">
        <v>1532</v>
      </c>
      <c r="AQ26" t="str">
        <f t="shared" si="1"/>
        <v>412202 Departamentales</v>
      </c>
    </row>
    <row r="27" spans="1:49" x14ac:dyDescent="0.25">
      <c r="A27" s="30"/>
      <c r="B27" s="30">
        <v>130000</v>
      </c>
      <c r="C27" s="30" t="s">
        <v>354</v>
      </c>
      <c r="D27" s="30" t="s">
        <v>557</v>
      </c>
      <c r="E27" s="30"/>
      <c r="F27" s="30" t="s">
        <v>581</v>
      </c>
      <c r="G27" s="30" t="s">
        <v>513</v>
      </c>
      <c r="H27" s="30" t="s">
        <v>582</v>
      </c>
      <c r="I27" s="808" t="s">
        <v>1449</v>
      </c>
      <c r="J27" s="30"/>
      <c r="K27" s="30"/>
      <c r="L27" s="30"/>
      <c r="M27" s="30"/>
      <c r="N27" s="30"/>
      <c r="O27" s="30"/>
      <c r="P27" s="30"/>
      <c r="Q27" s="30"/>
      <c r="R27" s="30"/>
      <c r="T27" s="460"/>
      <c r="U27" s="815"/>
      <c r="V27" s="30"/>
      <c r="W27" s="30"/>
      <c r="X27" s="30"/>
      <c r="Y27" s="30"/>
      <c r="Z27" s="30"/>
      <c r="AA27" s="30"/>
      <c r="AB27" s="30"/>
      <c r="AC27" s="30"/>
      <c r="AD27" s="30"/>
      <c r="AE27" s="30"/>
      <c r="AF27" s="30"/>
      <c r="AG27" s="30"/>
      <c r="AH27" s="807" t="s">
        <v>1533</v>
      </c>
      <c r="AI27" t="s">
        <v>1534</v>
      </c>
      <c r="AJ27" t="str">
        <f t="shared" si="0"/>
        <v>O12203 Distritales</v>
      </c>
      <c r="AL27" s="807"/>
      <c r="AO27" s="807">
        <v>412203</v>
      </c>
      <c r="AP27" t="s">
        <v>1534</v>
      </c>
      <c r="AQ27" t="str">
        <f t="shared" si="1"/>
        <v>412203 Distritales</v>
      </c>
    </row>
    <row r="28" spans="1:49" x14ac:dyDescent="0.25">
      <c r="A28" s="30"/>
      <c r="B28" s="30">
        <v>140000</v>
      </c>
      <c r="C28" s="30" t="s">
        <v>356</v>
      </c>
      <c r="D28" s="30" t="s">
        <v>547</v>
      </c>
      <c r="E28" s="30"/>
      <c r="F28" s="30" t="s">
        <v>583</v>
      </c>
      <c r="G28" s="30" t="s">
        <v>513</v>
      </c>
      <c r="H28" s="30" t="s">
        <v>580</v>
      </c>
      <c r="I28" s="808" t="s">
        <v>1449</v>
      </c>
      <c r="J28" s="30"/>
      <c r="K28" s="30"/>
      <c r="L28" s="30"/>
      <c r="M28" s="30"/>
      <c r="N28" s="30"/>
      <c r="O28" s="30"/>
      <c r="P28" s="30"/>
      <c r="Q28" s="30"/>
      <c r="R28" s="30"/>
      <c r="T28" s="460"/>
      <c r="U28" s="815"/>
      <c r="V28" s="30"/>
      <c r="W28" s="30"/>
      <c r="X28" s="30"/>
      <c r="Y28" s="30"/>
      <c r="Z28" s="30"/>
      <c r="AA28" s="30"/>
      <c r="AB28" s="30"/>
      <c r="AC28" s="30"/>
      <c r="AD28" s="30"/>
      <c r="AE28" s="30"/>
      <c r="AF28" s="30"/>
      <c r="AG28" s="30"/>
      <c r="AH28" s="807" t="s">
        <v>1535</v>
      </c>
      <c r="AI28" t="s">
        <v>1536</v>
      </c>
      <c r="AJ28" t="str">
        <f t="shared" si="0"/>
        <v>O12204 Otras Transferencias</v>
      </c>
      <c r="AL28" s="807"/>
      <c r="AO28" s="807">
        <v>412204</v>
      </c>
      <c r="AP28" t="s">
        <v>1536</v>
      </c>
      <c r="AQ28" t="str">
        <f t="shared" si="1"/>
        <v>412204 Otras Transferencias</v>
      </c>
    </row>
    <row r="29" spans="1:49" x14ac:dyDescent="0.25">
      <c r="A29" s="30"/>
      <c r="B29" s="30">
        <v>150000</v>
      </c>
      <c r="C29" s="30" t="s">
        <v>358</v>
      </c>
      <c r="D29" s="30" t="s">
        <v>541</v>
      </c>
      <c r="E29" s="30"/>
      <c r="F29" s="30" t="s">
        <v>584</v>
      </c>
      <c r="G29" s="30" t="s">
        <v>485</v>
      </c>
      <c r="H29" s="30" t="s">
        <v>564</v>
      </c>
      <c r="I29" s="30"/>
      <c r="J29" s="30"/>
      <c r="K29" s="30"/>
      <c r="L29" s="30"/>
      <c r="M29" s="30"/>
      <c r="N29" s="30"/>
      <c r="O29" s="30"/>
      <c r="P29" s="30"/>
      <c r="Q29" s="30"/>
      <c r="R29" s="30"/>
      <c r="S29" s="257"/>
      <c r="T29" s="460"/>
      <c r="U29" s="818"/>
      <c r="V29" s="30"/>
      <c r="W29" s="30"/>
      <c r="X29" s="30"/>
      <c r="Y29" s="30"/>
      <c r="Z29" s="30"/>
      <c r="AA29" s="30"/>
      <c r="AB29" s="30"/>
      <c r="AC29" s="30"/>
      <c r="AD29" s="30"/>
      <c r="AE29" s="30"/>
      <c r="AF29" s="30"/>
      <c r="AG29" s="30"/>
      <c r="AH29" s="807" t="s">
        <v>1537</v>
      </c>
      <c r="AI29" t="s">
        <v>1538</v>
      </c>
      <c r="AJ29" t="str">
        <f t="shared" si="0"/>
        <v>O15 Transferencias Administración Central</v>
      </c>
      <c r="AL29" s="807"/>
      <c r="AO29" s="807">
        <v>415</v>
      </c>
      <c r="AP29" t="s">
        <v>1538</v>
      </c>
      <c r="AQ29" t="str">
        <f t="shared" si="1"/>
        <v>415 Transferencias Administración Central</v>
      </c>
    </row>
    <row r="30" spans="1:49" x14ac:dyDescent="0.25">
      <c r="A30" s="30"/>
      <c r="B30" s="30">
        <v>190000</v>
      </c>
      <c r="C30" s="30" t="s">
        <v>360</v>
      </c>
      <c r="D30" s="30" t="s">
        <v>555</v>
      </c>
      <c r="E30" s="30"/>
      <c r="F30" s="30" t="s">
        <v>586</v>
      </c>
      <c r="G30" s="30" t="s">
        <v>485</v>
      </c>
      <c r="H30" s="30" t="s">
        <v>566</v>
      </c>
      <c r="I30" s="30"/>
      <c r="J30" s="30"/>
      <c r="K30" s="30"/>
      <c r="L30" s="30"/>
      <c r="M30" s="30"/>
      <c r="N30" s="30"/>
      <c r="O30" s="30"/>
      <c r="P30" s="30"/>
      <c r="Q30" s="30"/>
      <c r="R30" s="30"/>
      <c r="S30" s="257"/>
      <c r="T30" s="460"/>
      <c r="U30" s="815"/>
      <c r="V30" s="30"/>
      <c r="W30" s="30"/>
      <c r="X30" s="30"/>
      <c r="Y30" s="30"/>
      <c r="Z30" s="30"/>
      <c r="AA30" s="30"/>
      <c r="AB30" s="30"/>
      <c r="AC30" s="30"/>
      <c r="AD30" s="30"/>
      <c r="AE30" s="30"/>
      <c r="AF30" s="30"/>
      <c r="AG30" s="30"/>
      <c r="AH30" s="807"/>
      <c r="AJ30" t="str">
        <f t="shared" si="0"/>
        <v xml:space="preserve"> </v>
      </c>
      <c r="AL30" s="807"/>
      <c r="AO30" s="807"/>
      <c r="AQ30" t="str">
        <f t="shared" si="1"/>
        <v xml:space="preserve"> </v>
      </c>
    </row>
    <row r="31" spans="1:49" ht="27" customHeight="1" x14ac:dyDescent="0.25">
      <c r="A31" s="30"/>
      <c r="B31" s="30">
        <v>200000</v>
      </c>
      <c r="C31" s="30" t="s">
        <v>362</v>
      </c>
      <c r="D31" s="30" t="s">
        <v>568</v>
      </c>
      <c r="E31" s="30"/>
      <c r="F31" s="30" t="s">
        <v>588</v>
      </c>
      <c r="G31" s="30" t="s">
        <v>485</v>
      </c>
      <c r="H31" s="30" t="s">
        <v>569</v>
      </c>
      <c r="I31" s="30"/>
      <c r="J31" s="30"/>
      <c r="K31" s="30"/>
      <c r="L31" s="30"/>
      <c r="M31" s="30"/>
      <c r="N31" s="30"/>
      <c r="O31" s="30"/>
      <c r="P31" s="30"/>
      <c r="Q31" s="30"/>
      <c r="R31" s="30"/>
      <c r="S31" s="257"/>
      <c r="T31" s="460"/>
      <c r="U31" s="815"/>
      <c r="V31" s="30"/>
      <c r="W31" s="30"/>
      <c r="X31" s="30"/>
      <c r="Y31" s="30"/>
      <c r="Z31" s="30"/>
      <c r="AA31" s="30"/>
      <c r="AB31" s="30"/>
      <c r="AC31" s="30"/>
      <c r="AD31" s="30"/>
      <c r="AE31" s="30"/>
      <c r="AF31" s="30"/>
      <c r="AG31" s="30"/>
      <c r="AH31" s="807"/>
      <c r="AJ31" t="str">
        <f t="shared" si="0"/>
        <v xml:space="preserve"> </v>
      </c>
      <c r="AO31" s="807"/>
      <c r="AQ31" t="str">
        <f t="shared" si="1"/>
        <v xml:space="preserve"> </v>
      </c>
    </row>
    <row r="32" spans="1:49" x14ac:dyDescent="0.25">
      <c r="A32" s="30"/>
      <c r="B32" s="30">
        <v>210000</v>
      </c>
      <c r="C32" s="30" t="s">
        <v>364</v>
      </c>
      <c r="D32" s="30" t="s">
        <v>119</v>
      </c>
      <c r="E32" s="30"/>
      <c r="F32" s="30" t="s">
        <v>590</v>
      </c>
      <c r="G32" s="30" t="s">
        <v>485</v>
      </c>
      <c r="H32" s="30" t="s">
        <v>571</v>
      </c>
      <c r="I32" s="30"/>
      <c r="J32" s="30"/>
      <c r="K32" s="30"/>
      <c r="L32" s="30"/>
      <c r="M32" s="30"/>
      <c r="N32" s="30"/>
      <c r="O32" s="30"/>
      <c r="P32" s="30"/>
      <c r="Q32" s="30"/>
      <c r="R32" s="30"/>
      <c r="S32" s="819"/>
      <c r="T32" s="460"/>
      <c r="U32" s="815"/>
      <c r="V32" s="30"/>
      <c r="W32" s="30"/>
      <c r="X32" s="30"/>
      <c r="Y32" s="30"/>
      <c r="Z32" s="30"/>
      <c r="AA32" s="30"/>
      <c r="AB32" s="30"/>
      <c r="AC32" s="30"/>
      <c r="AD32" s="30"/>
      <c r="AE32" s="30"/>
      <c r="AF32" s="30"/>
      <c r="AG32" s="30"/>
      <c r="AH32" s="803" t="s">
        <v>1539</v>
      </c>
      <c r="AI32" s="803"/>
      <c r="AJ32" t="str">
        <f t="shared" si="0"/>
        <v xml:space="preserve">CÓDIGO GASTOS </v>
      </c>
      <c r="AO32" s="803" t="s">
        <v>1539</v>
      </c>
      <c r="AP32" s="803"/>
      <c r="AQ32" t="str">
        <f t="shared" si="1"/>
        <v xml:space="preserve">CÓDIGO GASTOS </v>
      </c>
    </row>
    <row r="33" spans="1:43" x14ac:dyDescent="0.25">
      <c r="A33" s="30"/>
      <c r="B33" s="30">
        <v>220000</v>
      </c>
      <c r="C33" s="30" t="s">
        <v>366</v>
      </c>
      <c r="D33" s="30" t="s">
        <v>559</v>
      </c>
      <c r="E33" s="30"/>
      <c r="F33" s="30" t="s">
        <v>591</v>
      </c>
      <c r="G33" s="30" t="s">
        <v>485</v>
      </c>
      <c r="H33" s="30" t="s">
        <v>573</v>
      </c>
      <c r="I33" s="30"/>
      <c r="J33" s="30"/>
      <c r="K33" s="30"/>
      <c r="L33" s="30"/>
      <c r="M33" s="30"/>
      <c r="N33" s="30"/>
      <c r="O33" s="30"/>
      <c r="P33" s="30"/>
      <c r="Q33" s="30"/>
      <c r="R33" s="30"/>
      <c r="S33" s="819"/>
      <c r="T33" s="460"/>
      <c r="U33" s="815"/>
      <c r="V33" s="30"/>
      <c r="W33" s="30"/>
      <c r="X33" s="30"/>
      <c r="Y33" s="30"/>
      <c r="Z33" s="30"/>
      <c r="AA33" s="30"/>
      <c r="AB33" s="30"/>
      <c r="AC33" s="30"/>
      <c r="AD33" s="30"/>
      <c r="AE33" s="30"/>
      <c r="AF33" s="30"/>
      <c r="AG33" s="30"/>
      <c r="AH33" s="806" t="s">
        <v>1540</v>
      </c>
      <c r="AI33" s="803" t="s">
        <v>500</v>
      </c>
      <c r="AJ33" t="str">
        <f t="shared" si="0"/>
        <v>O2 GASTOS</v>
      </c>
      <c r="AL33" s="807"/>
      <c r="AO33" s="806">
        <v>42</v>
      </c>
      <c r="AP33" s="803" t="s">
        <v>500</v>
      </c>
      <c r="AQ33" t="str">
        <f t="shared" si="1"/>
        <v>42 GASTOS</v>
      </c>
    </row>
    <row r="34" spans="1:43" x14ac:dyDescent="0.25">
      <c r="A34" s="30"/>
      <c r="B34" s="30">
        <v>230000</v>
      </c>
      <c r="C34" s="30" t="s">
        <v>368</v>
      </c>
      <c r="D34" s="30" t="s">
        <v>580</v>
      </c>
      <c r="E34" s="30"/>
      <c r="F34" s="30" t="s">
        <v>592</v>
      </c>
      <c r="G34" s="30" t="s">
        <v>485</v>
      </c>
      <c r="H34" s="30" t="s">
        <v>575</v>
      </c>
      <c r="I34" s="30"/>
      <c r="J34" s="30"/>
      <c r="K34" s="30"/>
      <c r="L34" s="30"/>
      <c r="M34" s="30"/>
      <c r="N34" s="30"/>
      <c r="O34" s="30"/>
      <c r="P34" s="30"/>
      <c r="Q34" s="30"/>
      <c r="R34" s="30"/>
      <c r="S34" s="819"/>
      <c r="T34" s="460"/>
      <c r="U34" s="818"/>
      <c r="V34" s="30"/>
      <c r="W34" s="30"/>
      <c r="X34" s="30"/>
      <c r="Y34" s="30"/>
      <c r="Z34" s="30"/>
      <c r="AA34" s="30"/>
      <c r="AB34" s="30"/>
      <c r="AC34" s="30"/>
      <c r="AD34" s="30"/>
      <c r="AE34" s="30"/>
      <c r="AF34" s="30"/>
      <c r="AG34" s="30"/>
      <c r="AH34" s="806" t="s">
        <v>1541</v>
      </c>
      <c r="AI34" s="803" t="s">
        <v>1542</v>
      </c>
      <c r="AJ34" t="str">
        <f t="shared" si="0"/>
        <v>O21 GASTOS DE FUNCIONAMIENTO</v>
      </c>
      <c r="AL34" s="803"/>
      <c r="AM34" s="803"/>
      <c r="AO34" s="806">
        <v>421</v>
      </c>
      <c r="AP34" s="803" t="s">
        <v>1542</v>
      </c>
      <c r="AQ34" t="str">
        <f t="shared" si="1"/>
        <v>421 GASTOS DE FUNCIONAMIENTO</v>
      </c>
    </row>
    <row r="35" spans="1:43" x14ac:dyDescent="0.25">
      <c r="A35" s="30"/>
      <c r="B35" s="30">
        <v>80000</v>
      </c>
      <c r="C35" s="30" t="s">
        <v>370</v>
      </c>
      <c r="D35" s="30" t="s">
        <v>550</v>
      </c>
      <c r="E35" s="30"/>
      <c r="F35" s="30" t="s">
        <v>593</v>
      </c>
      <c r="G35" s="30" t="s">
        <v>485</v>
      </c>
      <c r="H35" s="30" t="s">
        <v>525</v>
      </c>
      <c r="I35" s="30"/>
      <c r="J35" s="30"/>
      <c r="K35" s="30"/>
      <c r="L35" s="30"/>
      <c r="M35" s="30"/>
      <c r="N35" s="30"/>
      <c r="O35" s="30"/>
      <c r="P35" s="30"/>
      <c r="Q35" s="30"/>
      <c r="R35" s="30"/>
      <c r="S35" s="819"/>
      <c r="T35" s="460"/>
      <c r="U35" s="818"/>
      <c r="V35" s="30"/>
      <c r="W35" s="30"/>
      <c r="X35" s="30"/>
      <c r="Y35" s="30"/>
      <c r="Z35" s="30"/>
      <c r="AA35" s="30"/>
      <c r="AB35" s="30"/>
      <c r="AC35" s="30"/>
      <c r="AD35" s="30"/>
      <c r="AE35" s="30"/>
      <c r="AF35" s="30"/>
      <c r="AG35" s="30"/>
      <c r="AH35" s="807" t="s">
        <v>1543</v>
      </c>
      <c r="AI35" t="s">
        <v>1544</v>
      </c>
      <c r="AJ35" t="str">
        <f t="shared" si="0"/>
        <v>O211 Gasto de personal</v>
      </c>
      <c r="AL35" s="806"/>
      <c r="AM35" s="803"/>
      <c r="AO35" s="807">
        <v>4211</v>
      </c>
      <c r="AP35" t="s">
        <v>1544</v>
      </c>
      <c r="AQ35" t="str">
        <f t="shared" si="1"/>
        <v>4211 Gasto de personal</v>
      </c>
    </row>
    <row r="36" spans="1:43" x14ac:dyDescent="0.25">
      <c r="A36" s="30"/>
      <c r="B36" s="30">
        <v>90000</v>
      </c>
      <c r="C36" s="30" t="s">
        <v>372</v>
      </c>
      <c r="D36" s="30" t="s">
        <v>582</v>
      </c>
      <c r="E36" s="30"/>
      <c r="F36" s="30" t="s">
        <v>594</v>
      </c>
      <c r="G36" s="30" t="s">
        <v>485</v>
      </c>
      <c r="H36" s="30" t="s">
        <v>577</v>
      </c>
      <c r="I36" s="30"/>
      <c r="J36" s="30"/>
      <c r="K36" s="30"/>
      <c r="L36" s="30"/>
      <c r="M36" s="30"/>
      <c r="N36" s="30"/>
      <c r="O36" s="30"/>
      <c r="P36" s="30"/>
      <c r="Q36" s="30"/>
      <c r="R36" s="30"/>
      <c r="S36" s="819"/>
      <c r="T36" s="460"/>
      <c r="U36" s="815"/>
      <c r="V36" s="30"/>
      <c r="W36" s="30"/>
      <c r="X36" s="30"/>
      <c r="Y36" s="30"/>
      <c r="Z36" s="30"/>
      <c r="AA36" s="30"/>
      <c r="AB36" s="30"/>
      <c r="AC36" s="30"/>
      <c r="AD36" s="30"/>
      <c r="AE36" s="30"/>
      <c r="AF36" s="30"/>
      <c r="AG36" s="30"/>
      <c r="AH36" t="s">
        <v>1545</v>
      </c>
      <c r="AI36" t="s">
        <v>1546</v>
      </c>
      <c r="AJ36" t="str">
        <f t="shared" si="0"/>
        <v>O21101 Planta de Personal permanente</v>
      </c>
      <c r="AL36" s="806"/>
      <c r="AM36" s="803"/>
      <c r="AO36" s="807">
        <v>421101</v>
      </c>
      <c r="AP36" t="s">
        <v>1546</v>
      </c>
      <c r="AQ36" t="str">
        <f t="shared" si="1"/>
        <v>421101 Planta de Personal permanente</v>
      </c>
    </row>
    <row r="37" spans="1:43" x14ac:dyDescent="0.25">
      <c r="A37" s="30"/>
      <c r="B37" s="30"/>
      <c r="C37" s="30"/>
      <c r="D37" s="30"/>
      <c r="E37" s="30"/>
      <c r="F37" s="30" t="s">
        <v>595</v>
      </c>
      <c r="G37" s="30" t="s">
        <v>596</v>
      </c>
      <c r="H37" s="30" t="s">
        <v>555</v>
      </c>
      <c r="I37" s="808" t="s">
        <v>1449</v>
      </c>
      <c r="J37" s="30"/>
      <c r="K37" s="30"/>
      <c r="L37" s="30"/>
      <c r="M37" s="30"/>
      <c r="N37" s="30"/>
      <c r="O37" s="30"/>
      <c r="P37" s="30"/>
      <c r="Q37" s="30"/>
      <c r="R37" s="30"/>
      <c r="S37" s="819"/>
      <c r="T37" s="460"/>
      <c r="U37" s="815"/>
      <c r="V37" s="30"/>
      <c r="W37" s="30"/>
      <c r="X37" s="30"/>
      <c r="Y37" s="30"/>
      <c r="Z37" s="30"/>
      <c r="AA37" s="30"/>
      <c r="AB37" s="30"/>
      <c r="AC37" s="30"/>
      <c r="AD37" s="30"/>
      <c r="AE37" s="30"/>
      <c r="AF37" s="30"/>
      <c r="AG37" s="30"/>
      <c r="AH37" t="s">
        <v>1547</v>
      </c>
      <c r="AI37" t="s">
        <v>1548</v>
      </c>
      <c r="AJ37" t="str">
        <f t="shared" si="0"/>
        <v>O21102 Personal supernumerario y Planta temporal</v>
      </c>
      <c r="AL37" s="807"/>
      <c r="AO37" s="807">
        <v>421102</v>
      </c>
      <c r="AP37" t="s">
        <v>1548</v>
      </c>
      <c r="AQ37" t="str">
        <f t="shared" si="1"/>
        <v>421102 Personal supernumerario y Planta temporal</v>
      </c>
    </row>
    <row r="38" spans="1:43" x14ac:dyDescent="0.25">
      <c r="A38" s="30"/>
      <c r="B38" s="30"/>
      <c r="C38" s="30"/>
      <c r="D38" s="30"/>
      <c r="E38" s="30"/>
      <c r="F38" s="30" t="s">
        <v>599</v>
      </c>
      <c r="G38" s="30" t="s">
        <v>1549</v>
      </c>
      <c r="H38" s="30" t="s">
        <v>557</v>
      </c>
      <c r="I38" s="808"/>
      <c r="J38" s="30"/>
      <c r="K38" s="30"/>
      <c r="L38" s="30"/>
      <c r="M38" s="30"/>
      <c r="N38" s="30"/>
      <c r="O38" s="30"/>
      <c r="P38" s="30"/>
      <c r="Q38" s="30"/>
      <c r="R38" s="30"/>
      <c r="S38" s="819"/>
      <c r="T38" s="460"/>
      <c r="U38" s="815"/>
      <c r="V38" s="30"/>
      <c r="W38" s="30"/>
      <c r="X38" s="30"/>
      <c r="Y38" s="30"/>
      <c r="Z38" s="30"/>
      <c r="AA38" s="30"/>
      <c r="AB38" s="30"/>
      <c r="AC38" s="30"/>
      <c r="AD38" s="30"/>
      <c r="AE38" s="30"/>
      <c r="AF38" s="30"/>
      <c r="AG38" s="30"/>
      <c r="AH38" s="807" t="s">
        <v>1550</v>
      </c>
      <c r="AI38" t="s">
        <v>1551</v>
      </c>
      <c r="AJ38" t="str">
        <f t="shared" si="0"/>
        <v>O212 Adquisición bienes y servicios</v>
      </c>
      <c r="AL38" s="807"/>
      <c r="AO38" s="807">
        <v>4212</v>
      </c>
      <c r="AP38" t="s">
        <v>1551</v>
      </c>
      <c r="AQ38" t="str">
        <f t="shared" si="1"/>
        <v>4212 Adquisición bienes y servicios</v>
      </c>
    </row>
    <row r="39" spans="1:43" x14ac:dyDescent="0.25">
      <c r="A39" s="30"/>
      <c r="B39" s="30"/>
      <c r="C39" s="30"/>
      <c r="D39" s="30"/>
      <c r="E39" s="30"/>
      <c r="F39" s="30" t="s">
        <v>601</v>
      </c>
      <c r="G39" s="30" t="s">
        <v>513</v>
      </c>
      <c r="H39" s="30" t="s">
        <v>557</v>
      </c>
      <c r="I39" s="808" t="s">
        <v>1449</v>
      </c>
      <c r="J39" s="30"/>
      <c r="K39" s="30"/>
      <c r="L39" s="30"/>
      <c r="M39" s="30"/>
      <c r="N39" s="30"/>
      <c r="O39" s="30"/>
      <c r="P39" s="30"/>
      <c r="Q39" s="30"/>
      <c r="R39" s="30"/>
      <c r="S39" s="819"/>
      <c r="T39" s="460"/>
      <c r="U39" s="815"/>
      <c r="V39" s="30"/>
      <c r="W39" s="30"/>
      <c r="X39" s="30"/>
      <c r="Y39" s="30"/>
      <c r="Z39" s="30"/>
      <c r="AA39" s="30"/>
      <c r="AB39" s="30"/>
      <c r="AC39" s="30"/>
      <c r="AD39" s="30"/>
      <c r="AE39" s="30"/>
      <c r="AF39" s="30"/>
      <c r="AG39" s="30"/>
      <c r="AH39" t="s">
        <v>1552</v>
      </c>
      <c r="AI39" t="s">
        <v>1553</v>
      </c>
      <c r="AJ39" t="str">
        <f t="shared" si="0"/>
        <v>O21201 Adquisición de activos no financieros</v>
      </c>
      <c r="AL39" s="807"/>
      <c r="AO39" s="807">
        <v>421201</v>
      </c>
      <c r="AP39" t="s">
        <v>1553</v>
      </c>
      <c r="AQ39" t="str">
        <f t="shared" si="1"/>
        <v>421201 Adquisición de activos no financieros</v>
      </c>
    </row>
    <row r="40" spans="1:43" x14ac:dyDescent="0.25">
      <c r="A40" s="30"/>
      <c r="B40" s="30"/>
      <c r="C40" s="30"/>
      <c r="D40" s="30"/>
      <c r="E40" s="30"/>
      <c r="F40" s="30" t="s">
        <v>602</v>
      </c>
      <c r="G40" s="30" t="s">
        <v>596</v>
      </c>
      <c r="H40" s="30" t="s">
        <v>550</v>
      </c>
      <c r="I40" s="30"/>
      <c r="J40" s="30"/>
      <c r="K40" s="30"/>
      <c r="L40" s="30"/>
      <c r="M40" s="30"/>
      <c r="N40" s="30"/>
      <c r="O40" s="30"/>
      <c r="P40" s="30"/>
      <c r="Q40" s="30"/>
      <c r="R40" s="30"/>
      <c r="S40" s="288"/>
      <c r="T40" s="460"/>
      <c r="U40" s="815"/>
      <c r="V40" s="30"/>
      <c r="W40" s="30"/>
      <c r="X40" s="30"/>
      <c r="Y40" s="30"/>
      <c r="Z40" s="30"/>
      <c r="AA40" s="30"/>
      <c r="AB40" s="30"/>
      <c r="AC40" s="30"/>
      <c r="AD40" s="30"/>
      <c r="AE40" s="30"/>
      <c r="AF40" s="30"/>
      <c r="AG40" s="30"/>
      <c r="AH40" t="s">
        <v>1554</v>
      </c>
      <c r="AI40" t="s">
        <v>1555</v>
      </c>
      <c r="AJ40" t="str">
        <f t="shared" si="0"/>
        <v>O21202 Adquisiciones diferentes de activos</v>
      </c>
      <c r="AL40" s="807"/>
      <c r="AO40" s="807">
        <v>421202</v>
      </c>
      <c r="AP40" t="s">
        <v>1555</v>
      </c>
      <c r="AQ40" t="str">
        <f t="shared" si="1"/>
        <v>421202 Adquisiciones diferentes de activos</v>
      </c>
    </row>
    <row r="41" spans="1:43" x14ac:dyDescent="0.25">
      <c r="A41" s="30"/>
      <c r="B41" s="30"/>
      <c r="C41" s="30"/>
      <c r="D41" s="30"/>
      <c r="E41" s="30"/>
      <c r="F41" s="30" t="s">
        <v>604</v>
      </c>
      <c r="G41" s="30" t="s">
        <v>1549</v>
      </c>
      <c r="H41" s="30" t="s">
        <v>557</v>
      </c>
      <c r="I41" s="30"/>
      <c r="J41" s="30"/>
      <c r="K41" s="30"/>
      <c r="L41" s="30"/>
      <c r="M41" s="30"/>
      <c r="N41" s="30"/>
      <c r="O41" s="30"/>
      <c r="P41" s="30"/>
      <c r="Q41" s="30"/>
      <c r="R41" s="30"/>
      <c r="S41" s="288"/>
      <c r="U41" s="815"/>
      <c r="V41" s="30"/>
      <c r="W41" s="30"/>
      <c r="X41" s="30"/>
      <c r="Y41" s="30"/>
      <c r="Z41" s="30"/>
      <c r="AA41" s="30"/>
      <c r="AB41" s="30"/>
      <c r="AC41" s="30"/>
      <c r="AD41" s="30"/>
      <c r="AE41" s="30"/>
      <c r="AF41" s="30"/>
      <c r="AG41" s="30"/>
      <c r="AH41" t="s">
        <v>1556</v>
      </c>
      <c r="AI41" t="s">
        <v>1557</v>
      </c>
      <c r="AJ41" t="str">
        <f t="shared" si="0"/>
        <v>O213 Transferencias CORRIENTES</v>
      </c>
      <c r="AL41" s="807"/>
      <c r="AO41" s="807">
        <v>4213</v>
      </c>
      <c r="AP41" t="s">
        <v>1557</v>
      </c>
      <c r="AQ41" t="str">
        <f t="shared" si="1"/>
        <v>4213 Transferencias CORRIENTES</v>
      </c>
    </row>
    <row r="42" spans="1:43" x14ac:dyDescent="0.25">
      <c r="A42" s="30"/>
      <c r="B42" s="30"/>
      <c r="C42" s="30"/>
      <c r="D42" s="30"/>
      <c r="E42" s="30"/>
      <c r="F42" s="30" t="s">
        <v>603</v>
      </c>
      <c r="G42" s="30" t="s">
        <v>598</v>
      </c>
      <c r="H42" s="30" t="s">
        <v>541</v>
      </c>
      <c r="I42" s="30"/>
      <c r="J42" s="30"/>
      <c r="K42" s="30"/>
      <c r="L42" s="30"/>
      <c r="M42" s="30"/>
      <c r="N42" s="30"/>
      <c r="O42" s="30"/>
      <c r="P42" s="30"/>
      <c r="Q42" s="30"/>
      <c r="R42" s="30"/>
      <c r="S42" s="30"/>
      <c r="T42" s="460"/>
      <c r="U42" s="815"/>
      <c r="V42" s="30"/>
      <c r="W42" s="30"/>
      <c r="X42" s="30"/>
      <c r="Y42" s="30"/>
      <c r="Z42" s="30"/>
      <c r="AA42" s="30"/>
      <c r="AB42" s="30"/>
      <c r="AC42" s="30"/>
      <c r="AD42" s="30"/>
      <c r="AE42" s="30"/>
      <c r="AF42" s="30"/>
      <c r="AG42" s="30"/>
      <c r="AH42" t="s">
        <v>1558</v>
      </c>
      <c r="AI42" t="s">
        <v>1559</v>
      </c>
      <c r="AJ42" t="str">
        <f t="shared" si="0"/>
        <v>O21304 A organizaciones nacionales</v>
      </c>
      <c r="AL42" s="806"/>
      <c r="AM42" s="803"/>
      <c r="AO42" s="807">
        <v>421304</v>
      </c>
      <c r="AP42" t="s">
        <v>1559</v>
      </c>
      <c r="AQ42" t="str">
        <f t="shared" si="1"/>
        <v>421304 A organizaciones nacionales</v>
      </c>
    </row>
    <row r="43" spans="1:43" x14ac:dyDescent="0.25">
      <c r="A43" s="30"/>
      <c r="B43" s="30"/>
      <c r="C43" s="30"/>
      <c r="D43" s="30"/>
      <c r="E43" s="30"/>
      <c r="F43" s="30" t="s">
        <v>608</v>
      </c>
      <c r="G43" s="30" t="s">
        <v>1549</v>
      </c>
      <c r="H43" s="30" t="s">
        <v>557</v>
      </c>
      <c r="I43" s="30"/>
      <c r="J43" s="30"/>
      <c r="K43" s="30"/>
      <c r="L43" s="30"/>
      <c r="M43" s="30"/>
      <c r="N43" s="30"/>
      <c r="O43" s="30"/>
      <c r="P43" s="30"/>
      <c r="Q43" s="30"/>
      <c r="R43" s="30"/>
      <c r="S43" s="30"/>
      <c r="T43" s="460"/>
      <c r="U43" s="815"/>
      <c r="V43" s="30"/>
      <c r="W43" s="30"/>
      <c r="X43" s="30"/>
      <c r="Y43" s="30"/>
      <c r="Z43" s="30"/>
      <c r="AA43" s="30"/>
      <c r="AB43" s="30"/>
      <c r="AC43" s="30"/>
      <c r="AD43" s="30"/>
      <c r="AE43" s="30"/>
      <c r="AF43" s="30"/>
      <c r="AG43" s="30"/>
      <c r="AH43" t="s">
        <v>1560</v>
      </c>
      <c r="AI43" t="s">
        <v>1561</v>
      </c>
      <c r="AJ43" t="str">
        <f t="shared" si="0"/>
        <v>O21305 A entidades del gobierno</v>
      </c>
      <c r="AL43" s="807"/>
      <c r="AO43" s="807">
        <v>421305</v>
      </c>
      <c r="AP43" t="s">
        <v>1561</v>
      </c>
      <c r="AQ43" t="str">
        <f t="shared" si="1"/>
        <v>421305 A entidades del gobierno</v>
      </c>
    </row>
    <row r="44" spans="1:43" x14ac:dyDescent="0.25">
      <c r="A44" s="30"/>
      <c r="B44" s="30"/>
      <c r="C44" s="30"/>
      <c r="D44" s="30"/>
      <c r="E44" s="30"/>
      <c r="F44" s="30" t="s">
        <v>606</v>
      </c>
      <c r="G44" s="30" t="s">
        <v>596</v>
      </c>
      <c r="H44" s="30" t="s">
        <v>557</v>
      </c>
      <c r="I44" s="808"/>
      <c r="J44" s="30"/>
      <c r="K44" s="30"/>
      <c r="L44" s="30"/>
      <c r="M44" s="30"/>
      <c r="N44" s="30"/>
      <c r="O44" s="30"/>
      <c r="P44" s="30"/>
      <c r="Q44" s="30"/>
      <c r="R44" s="30"/>
      <c r="S44" s="30"/>
      <c r="T44" s="460"/>
      <c r="U44" s="815"/>
      <c r="V44" s="30"/>
      <c r="W44" s="30"/>
      <c r="X44" s="30"/>
      <c r="Y44" s="30"/>
      <c r="Z44" s="30"/>
      <c r="AA44" s="30"/>
      <c r="AB44" s="30"/>
      <c r="AC44" s="30"/>
      <c r="AD44" s="30"/>
      <c r="AE44" s="30"/>
      <c r="AF44" s="30"/>
      <c r="AG44" s="30"/>
      <c r="AI44" t="s">
        <v>441</v>
      </c>
      <c r="AJ44" t="str">
        <f t="shared" si="0"/>
        <v xml:space="preserve"> Adquisición de activos financieros</v>
      </c>
      <c r="AL44" s="807"/>
      <c r="AP44" t="s">
        <v>441</v>
      </c>
      <c r="AQ44" t="str">
        <f t="shared" si="1"/>
        <v xml:space="preserve"> Adquisición de activos financieros</v>
      </c>
    </row>
    <row r="45" spans="1:43" x14ac:dyDescent="0.25">
      <c r="A45" s="30"/>
      <c r="B45" s="30"/>
      <c r="C45" s="30"/>
      <c r="D45" s="30"/>
      <c r="E45" s="30"/>
      <c r="F45" s="30" t="s">
        <v>611</v>
      </c>
      <c r="G45" s="30" t="s">
        <v>1549</v>
      </c>
      <c r="H45" s="30" t="s">
        <v>557</v>
      </c>
      <c r="I45" s="30"/>
      <c r="J45" s="30"/>
      <c r="K45" s="30"/>
      <c r="L45" s="30"/>
      <c r="M45" s="30"/>
      <c r="N45" s="30"/>
      <c r="O45" s="30"/>
      <c r="P45" s="30"/>
      <c r="Q45" s="30"/>
      <c r="R45" s="30"/>
      <c r="S45" s="30"/>
      <c r="T45" s="460"/>
      <c r="U45" s="820"/>
      <c r="V45" s="30"/>
      <c r="W45" s="30"/>
      <c r="X45" s="30"/>
      <c r="Y45" s="30"/>
      <c r="Z45" s="30"/>
      <c r="AA45" s="30"/>
      <c r="AB45" s="30"/>
      <c r="AC45" s="30"/>
      <c r="AD45" s="30"/>
      <c r="AE45" s="30"/>
      <c r="AF45" s="30"/>
      <c r="AG45" s="30"/>
      <c r="AH45" t="s">
        <v>1562</v>
      </c>
      <c r="AI45" t="s">
        <v>1563</v>
      </c>
      <c r="AJ45" t="str">
        <f t="shared" si="0"/>
        <v>O21314 Aportes al FONPET</v>
      </c>
      <c r="AL45" s="806"/>
      <c r="AM45" s="803"/>
      <c r="AO45" s="807">
        <v>421314</v>
      </c>
      <c r="AP45" t="s">
        <v>1563</v>
      </c>
      <c r="AQ45" t="str">
        <f t="shared" si="1"/>
        <v>421314 Aportes al FONPET</v>
      </c>
    </row>
    <row r="46" spans="1:43" x14ac:dyDescent="0.25">
      <c r="A46" s="30"/>
      <c r="B46" s="30"/>
      <c r="C46" s="30"/>
      <c r="D46" s="30"/>
      <c r="E46" s="30"/>
      <c r="F46" s="30" t="s">
        <v>613</v>
      </c>
      <c r="G46" s="30" t="s">
        <v>1549</v>
      </c>
      <c r="H46" s="30" t="s">
        <v>557</v>
      </c>
      <c r="I46" s="30"/>
      <c r="J46" s="30"/>
      <c r="K46" s="30"/>
      <c r="L46" s="30"/>
      <c r="M46" s="30"/>
      <c r="N46" s="30"/>
      <c r="O46" s="30"/>
      <c r="P46" s="30"/>
      <c r="Q46" s="30"/>
      <c r="R46" s="30"/>
      <c r="S46" s="30"/>
      <c r="T46" s="460"/>
      <c r="U46" s="820"/>
      <c r="V46" s="30"/>
      <c r="W46" s="30"/>
      <c r="X46" s="30"/>
      <c r="Y46" s="30"/>
      <c r="Z46" s="30"/>
      <c r="AA46" s="30"/>
      <c r="AB46" s="30"/>
      <c r="AC46" s="30"/>
      <c r="AD46" s="30"/>
      <c r="AE46" s="30"/>
      <c r="AF46" s="30"/>
      <c r="AG46" s="30"/>
      <c r="AH46" t="s">
        <v>1564</v>
      </c>
      <c r="AI46" t="s">
        <v>1565</v>
      </c>
      <c r="AJ46" t="str">
        <f t="shared" si="0"/>
        <v>O217 Disminución de Pasivos</v>
      </c>
      <c r="AL46" s="807"/>
      <c r="AM46" s="803"/>
      <c r="AO46" s="807">
        <v>4217</v>
      </c>
      <c r="AP46" t="s">
        <v>1565</v>
      </c>
      <c r="AQ46" t="str">
        <f t="shared" si="1"/>
        <v>4217 Disminución de Pasivos</v>
      </c>
    </row>
    <row r="47" spans="1:43" x14ac:dyDescent="0.25">
      <c r="A47" s="30"/>
      <c r="B47" s="30"/>
      <c r="C47" s="30"/>
      <c r="D47" s="30"/>
      <c r="E47" s="30"/>
      <c r="F47" s="30" t="s">
        <v>607</v>
      </c>
      <c r="G47" s="30" t="s">
        <v>596</v>
      </c>
      <c r="H47" s="30" t="s">
        <v>559</v>
      </c>
      <c r="I47" s="808" t="s">
        <v>1449</v>
      </c>
      <c r="J47" s="30"/>
      <c r="K47" s="30"/>
      <c r="L47" s="30"/>
      <c r="M47" s="30"/>
      <c r="N47" s="30"/>
      <c r="O47" s="30"/>
      <c r="P47" s="30"/>
      <c r="Q47" s="30"/>
      <c r="R47" s="30"/>
      <c r="S47" s="30"/>
      <c r="T47" s="460"/>
      <c r="U47" s="820"/>
      <c r="V47" s="30"/>
      <c r="W47" s="30"/>
      <c r="X47" s="30"/>
      <c r="Y47" s="30"/>
      <c r="Z47" s="30"/>
      <c r="AA47" s="30"/>
      <c r="AB47" s="30"/>
      <c r="AC47" s="30"/>
      <c r="AD47" s="30"/>
      <c r="AE47" s="30"/>
      <c r="AF47" s="30"/>
      <c r="AG47" s="30"/>
      <c r="AH47" t="s">
        <v>1566</v>
      </c>
      <c r="AI47" t="s">
        <v>443</v>
      </c>
      <c r="AJ47" t="str">
        <f t="shared" si="0"/>
        <v>O218 Gastos por tributos, tasas, contribuciones, multas, sanciones e intereses de mora</v>
      </c>
      <c r="AL47" s="807"/>
      <c r="AO47" s="807">
        <v>4218</v>
      </c>
      <c r="AP47" t="s">
        <v>443</v>
      </c>
      <c r="AQ47" t="str">
        <f t="shared" si="1"/>
        <v>4218 Gastos por tributos, tasas, contribuciones, multas, sanciones e intereses de mora</v>
      </c>
    </row>
    <row r="48" spans="1:43" x14ac:dyDescent="0.25">
      <c r="A48" s="30"/>
      <c r="B48" s="30"/>
      <c r="C48" s="30"/>
      <c r="D48" s="30"/>
      <c r="E48" s="30"/>
      <c r="F48" s="30" t="s">
        <v>609</v>
      </c>
      <c r="G48" s="30" t="s">
        <v>596</v>
      </c>
      <c r="H48" s="30" t="s">
        <v>559</v>
      </c>
      <c r="I48" s="808" t="s">
        <v>1449</v>
      </c>
      <c r="J48" s="30"/>
      <c r="K48" s="30"/>
      <c r="L48" s="30"/>
      <c r="M48" s="30"/>
      <c r="N48" s="30"/>
      <c r="O48" s="30"/>
      <c r="P48" s="30"/>
      <c r="Q48" s="30"/>
      <c r="R48" s="30"/>
      <c r="S48" s="30"/>
      <c r="T48" s="460"/>
      <c r="U48" s="820"/>
      <c r="V48" s="30"/>
      <c r="W48" s="30"/>
      <c r="X48" s="30"/>
      <c r="Y48" s="30"/>
      <c r="Z48" s="30"/>
      <c r="AA48" s="30"/>
      <c r="AB48" s="30"/>
      <c r="AC48" s="30"/>
      <c r="AD48" s="30"/>
      <c r="AE48" s="30"/>
      <c r="AF48" s="30"/>
      <c r="AG48" s="30"/>
      <c r="AH48" s="806" t="s">
        <v>1567</v>
      </c>
      <c r="AI48" s="803" t="s">
        <v>1568</v>
      </c>
      <c r="AJ48" t="str">
        <f t="shared" si="0"/>
        <v>O22 SERVICIO DE LA DEUDA PÚBLICA</v>
      </c>
      <c r="AL48" s="807"/>
      <c r="AO48" s="806">
        <v>422</v>
      </c>
      <c r="AP48" s="803" t="s">
        <v>1568</v>
      </c>
      <c r="AQ48" t="str">
        <f t="shared" si="1"/>
        <v>422 SERVICIO DE LA DEUDA PÚBLICA</v>
      </c>
    </row>
    <row r="49" spans="1:43" x14ac:dyDescent="0.25">
      <c r="A49" s="30"/>
      <c r="B49" s="30"/>
      <c r="C49" s="30"/>
      <c r="D49" s="30"/>
      <c r="E49" s="30"/>
      <c r="F49" s="30" t="s">
        <v>610</v>
      </c>
      <c r="G49" s="30" t="s">
        <v>596</v>
      </c>
      <c r="H49" s="30" t="s">
        <v>568</v>
      </c>
      <c r="I49" s="808" t="s">
        <v>1449</v>
      </c>
      <c r="J49" s="30"/>
      <c r="K49" s="30"/>
      <c r="L49" s="30"/>
      <c r="M49" s="30"/>
      <c r="N49" s="30"/>
      <c r="O49" s="30"/>
      <c r="P49" s="30"/>
      <c r="Q49" s="30"/>
      <c r="R49" s="30"/>
      <c r="S49" s="30"/>
      <c r="U49" s="820"/>
      <c r="V49" s="30"/>
      <c r="W49" s="30"/>
      <c r="X49" s="30"/>
      <c r="Y49" s="30"/>
      <c r="Z49" s="30"/>
      <c r="AA49" s="30"/>
      <c r="AB49" s="30"/>
      <c r="AC49" s="30"/>
      <c r="AD49" s="30"/>
      <c r="AE49" s="30"/>
      <c r="AF49" s="30"/>
      <c r="AG49" s="30"/>
      <c r="AH49" s="806" t="s">
        <v>1569</v>
      </c>
      <c r="AI49" t="s">
        <v>1570</v>
      </c>
      <c r="AJ49" t="str">
        <f t="shared" si="0"/>
        <v>O221 Servicios de la deuda pública externa</v>
      </c>
      <c r="AL49" s="806"/>
      <c r="AM49" s="803"/>
      <c r="AO49" s="806">
        <v>4221</v>
      </c>
      <c r="AP49" t="s">
        <v>1570</v>
      </c>
      <c r="AQ49" t="str">
        <f t="shared" si="1"/>
        <v>4221 Servicios de la deuda pública externa</v>
      </c>
    </row>
    <row r="50" spans="1:43" x14ac:dyDescent="0.25">
      <c r="A50" s="30"/>
      <c r="B50" s="30"/>
      <c r="C50" s="30"/>
      <c r="D50" s="30"/>
      <c r="E50" s="30"/>
      <c r="F50" s="30" t="s">
        <v>612</v>
      </c>
      <c r="G50" s="30" t="s">
        <v>596</v>
      </c>
      <c r="H50" s="30" t="s">
        <v>559</v>
      </c>
      <c r="I50" s="30"/>
      <c r="J50" s="30"/>
      <c r="K50" s="30"/>
      <c r="L50" s="30"/>
      <c r="M50" s="30"/>
      <c r="N50" s="30"/>
      <c r="O50" s="30"/>
      <c r="P50" s="30"/>
      <c r="Q50" s="30"/>
      <c r="R50" s="30"/>
      <c r="S50" s="30"/>
      <c r="T50" s="460"/>
      <c r="U50" s="820"/>
      <c r="V50" s="30"/>
      <c r="W50" s="30"/>
      <c r="X50" s="30"/>
      <c r="Y50" s="30"/>
      <c r="Z50" s="30"/>
      <c r="AA50" s="30"/>
      <c r="AB50" s="30"/>
      <c r="AC50" s="30"/>
      <c r="AD50" s="30"/>
      <c r="AE50" s="30"/>
      <c r="AF50" s="30"/>
      <c r="AG50" s="30"/>
      <c r="AH50" t="s">
        <v>1571</v>
      </c>
      <c r="AI50" t="s">
        <v>1572</v>
      </c>
      <c r="AJ50" t="str">
        <f t="shared" si="0"/>
        <v>O22101 Principal</v>
      </c>
      <c r="AO50" s="807">
        <v>422101</v>
      </c>
      <c r="AP50" t="s">
        <v>1572</v>
      </c>
      <c r="AQ50" t="str">
        <f t="shared" si="1"/>
        <v>422101 Principal</v>
      </c>
    </row>
    <row r="51" spans="1:43" x14ac:dyDescent="0.25">
      <c r="A51" s="30"/>
      <c r="B51" s="30"/>
      <c r="C51" s="30"/>
      <c r="D51" s="30"/>
      <c r="E51" s="30"/>
      <c r="F51" s="30" t="s">
        <v>614</v>
      </c>
      <c r="G51" s="30" t="s">
        <v>596</v>
      </c>
      <c r="H51" s="30" t="s">
        <v>559</v>
      </c>
      <c r="I51" s="808" t="s">
        <v>1449</v>
      </c>
      <c r="J51" s="30"/>
      <c r="K51" s="30"/>
      <c r="L51" s="30"/>
      <c r="M51" s="30"/>
      <c r="N51" s="30"/>
      <c r="O51" s="30"/>
      <c r="P51" s="30"/>
      <c r="Q51" s="30"/>
      <c r="R51" s="30"/>
      <c r="S51" s="30"/>
      <c r="T51" s="460"/>
      <c r="U51" s="820"/>
      <c r="V51" s="30"/>
      <c r="W51" s="30"/>
      <c r="X51" s="30"/>
      <c r="Y51" s="30"/>
      <c r="Z51" s="30"/>
      <c r="AA51" s="30"/>
      <c r="AB51" s="30"/>
      <c r="AC51" s="30"/>
      <c r="AD51" s="30"/>
      <c r="AE51" s="30"/>
      <c r="AF51" s="30"/>
      <c r="AG51" s="30"/>
      <c r="AH51" t="s">
        <v>1573</v>
      </c>
      <c r="AI51" t="s">
        <v>1574</v>
      </c>
      <c r="AJ51" t="str">
        <f t="shared" si="0"/>
        <v>O22102 Intereses</v>
      </c>
      <c r="AO51" s="807">
        <v>422102</v>
      </c>
      <c r="AP51" t="s">
        <v>1574</v>
      </c>
      <c r="AQ51" t="str">
        <f t="shared" si="1"/>
        <v>422102 Intereses</v>
      </c>
    </row>
    <row r="52" spans="1:43" x14ac:dyDescent="0.25">
      <c r="A52" s="30"/>
      <c r="B52" s="30"/>
      <c r="C52" s="30"/>
      <c r="D52" s="30"/>
      <c r="E52" s="30"/>
      <c r="F52" s="30" t="s">
        <v>615</v>
      </c>
      <c r="G52" s="30" t="s">
        <v>596</v>
      </c>
      <c r="H52" s="30" t="s">
        <v>557</v>
      </c>
      <c r="I52" s="808" t="s">
        <v>1449</v>
      </c>
      <c r="J52" s="30"/>
      <c r="K52" s="30"/>
      <c r="L52" s="30"/>
      <c r="M52" s="30"/>
      <c r="N52" s="30"/>
      <c r="O52" s="30"/>
      <c r="P52" s="30"/>
      <c r="Q52" s="30"/>
      <c r="R52" s="30"/>
      <c r="S52" s="30"/>
      <c r="T52" s="460"/>
      <c r="U52" s="820"/>
      <c r="V52" s="30"/>
      <c r="W52" s="30"/>
      <c r="X52" s="30"/>
      <c r="Y52" s="30"/>
      <c r="Z52" s="30"/>
      <c r="AA52" s="30"/>
      <c r="AB52" s="30"/>
      <c r="AC52" s="30"/>
      <c r="AD52" s="30"/>
      <c r="AE52" s="30"/>
      <c r="AF52" s="30"/>
      <c r="AG52" s="30"/>
      <c r="AH52" s="806" t="s">
        <v>1575</v>
      </c>
      <c r="AI52" t="s">
        <v>1576</v>
      </c>
      <c r="AJ52" t="str">
        <f t="shared" si="0"/>
        <v>O222 Servicios de la deuda pública interna</v>
      </c>
      <c r="AO52" s="806">
        <v>4222</v>
      </c>
      <c r="AP52" t="s">
        <v>1576</v>
      </c>
      <c r="AQ52" t="str">
        <f t="shared" si="1"/>
        <v>4222 Servicios de la deuda pública interna</v>
      </c>
    </row>
    <row r="53" spans="1:43" x14ac:dyDescent="0.25">
      <c r="A53" s="30"/>
      <c r="B53" s="30"/>
      <c r="C53" s="30"/>
      <c r="D53" s="30"/>
      <c r="E53" s="30"/>
      <c r="F53" s="30" t="s">
        <v>616</v>
      </c>
      <c r="G53" s="30" t="s">
        <v>596</v>
      </c>
      <c r="H53" s="30" t="s">
        <v>547</v>
      </c>
      <c r="I53" s="808" t="s">
        <v>1449</v>
      </c>
      <c r="J53" s="30"/>
      <c r="K53" s="30"/>
      <c r="L53" s="30"/>
      <c r="M53" s="30"/>
      <c r="N53" s="30"/>
      <c r="O53" s="30"/>
      <c r="P53" s="30"/>
      <c r="Q53" s="30"/>
      <c r="R53" s="30"/>
      <c r="S53" s="30"/>
      <c r="T53" s="460"/>
      <c r="U53" s="820"/>
      <c r="V53" s="30"/>
      <c r="W53" s="30"/>
      <c r="X53" s="30"/>
      <c r="Y53" s="30"/>
      <c r="Z53" s="30"/>
      <c r="AA53" s="30"/>
      <c r="AB53" s="30"/>
      <c r="AC53" s="30"/>
      <c r="AD53" s="30"/>
      <c r="AE53" s="30"/>
      <c r="AF53" s="30"/>
      <c r="AG53" s="30"/>
      <c r="AH53" t="s">
        <v>1577</v>
      </c>
      <c r="AI53" t="s">
        <v>1572</v>
      </c>
      <c r="AJ53" t="str">
        <f t="shared" si="0"/>
        <v>O22201 Principal</v>
      </c>
      <c r="AO53" s="807">
        <v>422201</v>
      </c>
      <c r="AP53" t="s">
        <v>1572</v>
      </c>
      <c r="AQ53" t="str">
        <f t="shared" si="1"/>
        <v>422201 Principal</v>
      </c>
    </row>
    <row r="54" spans="1:43" x14ac:dyDescent="0.25">
      <c r="A54" s="30"/>
      <c r="B54" s="30"/>
      <c r="C54" s="30"/>
      <c r="D54" s="30"/>
      <c r="E54" s="30"/>
      <c r="F54" s="30" t="s">
        <v>617</v>
      </c>
      <c r="G54" s="30" t="s">
        <v>596</v>
      </c>
      <c r="H54" s="30" t="s">
        <v>496</v>
      </c>
      <c r="I54" s="808" t="s">
        <v>1449</v>
      </c>
      <c r="J54" s="30"/>
      <c r="K54" s="30"/>
      <c r="L54" s="30"/>
      <c r="M54" s="30"/>
      <c r="N54" s="30"/>
      <c r="O54" s="30"/>
      <c r="P54" s="30"/>
      <c r="Q54" s="30"/>
      <c r="R54" s="30"/>
      <c r="S54" s="30"/>
      <c r="T54" s="460"/>
      <c r="U54" s="257"/>
      <c r="V54" s="30"/>
      <c r="W54" s="30"/>
      <c r="X54" s="30"/>
      <c r="Y54" s="30"/>
      <c r="Z54" s="30"/>
      <c r="AA54" s="30"/>
      <c r="AB54" s="30"/>
      <c r="AC54" s="30"/>
      <c r="AD54" s="30"/>
      <c r="AE54" s="30"/>
      <c r="AF54" s="30"/>
      <c r="AG54" s="30"/>
      <c r="AH54" t="s">
        <v>1578</v>
      </c>
      <c r="AI54" t="s">
        <v>1574</v>
      </c>
      <c r="AJ54" t="str">
        <f t="shared" si="0"/>
        <v>O22202 Intereses</v>
      </c>
      <c r="AO54" s="807">
        <v>422202</v>
      </c>
      <c r="AP54" t="s">
        <v>1574</v>
      </c>
      <c r="AQ54" t="str">
        <f t="shared" si="1"/>
        <v>422202 Intereses</v>
      </c>
    </row>
    <row r="55" spans="1:43" x14ac:dyDescent="0.25">
      <c r="A55" s="30"/>
      <c r="B55" s="30"/>
      <c r="C55" s="30"/>
      <c r="D55" s="30"/>
      <c r="E55" s="30"/>
      <c r="F55" s="30" t="s">
        <v>618</v>
      </c>
      <c r="G55" s="30" t="s">
        <v>596</v>
      </c>
      <c r="H55" s="30" t="s">
        <v>555</v>
      </c>
      <c r="I55" s="808" t="s">
        <v>1449</v>
      </c>
      <c r="J55" s="30"/>
      <c r="K55" s="30"/>
      <c r="L55" s="30"/>
      <c r="M55" s="30"/>
      <c r="N55" s="30"/>
      <c r="O55" s="30"/>
      <c r="P55" s="30"/>
      <c r="Q55" s="30"/>
      <c r="R55" s="30"/>
      <c r="S55" s="30"/>
      <c r="T55" s="460"/>
      <c r="U55" s="820"/>
      <c r="V55" s="30"/>
      <c r="W55" s="30"/>
      <c r="X55" s="30"/>
      <c r="Y55" s="30"/>
      <c r="Z55" s="30"/>
      <c r="AA55" s="30"/>
      <c r="AB55" s="30"/>
      <c r="AC55" s="30"/>
      <c r="AD55" s="30"/>
      <c r="AE55" s="30"/>
      <c r="AF55" s="30"/>
      <c r="AG55" s="30"/>
      <c r="AH55" t="s">
        <v>1579</v>
      </c>
      <c r="AI55" t="s">
        <v>1580</v>
      </c>
      <c r="AJ55" t="str">
        <f t="shared" si="0"/>
        <v>O22203 Comisiones y otros GASTOS</v>
      </c>
      <c r="AL55" s="803"/>
      <c r="AO55" s="807">
        <v>422203</v>
      </c>
      <c r="AP55" t="s">
        <v>1580</v>
      </c>
      <c r="AQ55" t="str">
        <f t="shared" si="1"/>
        <v>422203 Comisiones y otros GASTOS</v>
      </c>
    </row>
    <row r="56" spans="1:43" x14ac:dyDescent="0.25">
      <c r="A56" s="30"/>
      <c r="B56" s="30"/>
      <c r="C56" s="30"/>
      <c r="D56" s="30"/>
      <c r="E56" s="30"/>
      <c r="F56" s="30" t="s">
        <v>619</v>
      </c>
      <c r="G56" s="30" t="s">
        <v>596</v>
      </c>
      <c r="H56" s="30" t="s">
        <v>559</v>
      </c>
      <c r="I56" s="808"/>
      <c r="J56" s="30"/>
      <c r="K56" s="30"/>
      <c r="L56" s="30"/>
      <c r="M56" s="30"/>
      <c r="N56" s="30"/>
      <c r="O56" s="30"/>
      <c r="P56" s="30"/>
      <c r="Q56" s="30"/>
      <c r="R56" s="30"/>
      <c r="S56" s="30"/>
      <c r="T56" s="821"/>
      <c r="U56" s="820"/>
      <c r="V56" s="30"/>
      <c r="W56" s="30"/>
      <c r="X56" s="30"/>
      <c r="Y56" s="30"/>
      <c r="Z56" s="30"/>
      <c r="AA56" s="30"/>
      <c r="AB56" s="30"/>
      <c r="AC56" s="30"/>
      <c r="AD56" s="30"/>
      <c r="AE56" s="30"/>
      <c r="AF56" s="30"/>
      <c r="AG56" s="30"/>
      <c r="AH56" s="806" t="s">
        <v>1581</v>
      </c>
      <c r="AI56" s="803" t="s">
        <v>1582</v>
      </c>
      <c r="AJ56" t="str">
        <f t="shared" si="0"/>
        <v>O23 INVERSIÓN</v>
      </c>
      <c r="AO56" s="806">
        <v>423</v>
      </c>
      <c r="AP56" s="803" t="s">
        <v>1582</v>
      </c>
      <c r="AQ56" t="str">
        <f t="shared" si="1"/>
        <v>423 INVERSIÓN</v>
      </c>
    </row>
    <row r="57" spans="1:43" x14ac:dyDescent="0.25">
      <c r="A57" s="30"/>
      <c r="B57" s="30"/>
      <c r="C57" s="30"/>
      <c r="D57" s="30"/>
      <c r="E57" s="30"/>
      <c r="F57" s="30" t="s">
        <v>393</v>
      </c>
      <c r="G57" s="30" t="s">
        <v>579</v>
      </c>
      <c r="H57" s="30" t="s">
        <v>541</v>
      </c>
      <c r="I57" s="808" t="s">
        <v>1449</v>
      </c>
      <c r="J57" s="30"/>
      <c r="K57" s="30"/>
      <c r="L57" s="30"/>
      <c r="M57" s="30"/>
      <c r="N57" s="30"/>
      <c r="O57" s="30"/>
      <c r="P57" s="30"/>
      <c r="Q57" s="30"/>
      <c r="R57" s="30"/>
      <c r="S57" s="30"/>
      <c r="U57" s="820"/>
      <c r="V57" s="30"/>
      <c r="W57" s="30"/>
      <c r="X57" s="30"/>
      <c r="Y57" s="30"/>
      <c r="Z57" s="30"/>
      <c r="AA57" s="30"/>
      <c r="AB57" s="30"/>
      <c r="AC57" s="30"/>
      <c r="AD57" s="30"/>
      <c r="AE57" s="30"/>
      <c r="AF57" s="30"/>
      <c r="AG57" s="30"/>
      <c r="AH57" s="806" t="s">
        <v>1583</v>
      </c>
      <c r="AI57" s="803" t="s">
        <v>1584</v>
      </c>
      <c r="AJ57" t="str">
        <f t="shared" si="0"/>
        <v>O2301 Directa</v>
      </c>
      <c r="AO57" s="806">
        <v>42301</v>
      </c>
      <c r="AP57" s="803" t="s">
        <v>1584</v>
      </c>
      <c r="AQ57" t="str">
        <f t="shared" si="1"/>
        <v>42301 Directa</v>
      </c>
    </row>
    <row r="58" spans="1:43" x14ac:dyDescent="0.25">
      <c r="A58" s="30"/>
      <c r="B58" s="30"/>
      <c r="C58" s="30"/>
      <c r="D58" s="30"/>
      <c r="E58" s="30"/>
      <c r="F58" s="30" t="s">
        <v>394</v>
      </c>
      <c r="G58" s="30" t="s">
        <v>579</v>
      </c>
      <c r="H58" s="30" t="s">
        <v>550</v>
      </c>
      <c r="I58" s="808" t="s">
        <v>1449</v>
      </c>
      <c r="J58" s="30"/>
      <c r="K58" s="30"/>
      <c r="L58" s="30"/>
      <c r="M58" s="30"/>
      <c r="N58" s="30"/>
      <c r="O58" s="30"/>
      <c r="P58" s="30"/>
      <c r="Q58" s="30"/>
      <c r="R58" s="30"/>
      <c r="S58" s="30"/>
      <c r="T58" s="460"/>
      <c r="U58" s="820"/>
      <c r="V58" s="30"/>
      <c r="W58" s="30"/>
      <c r="X58" s="30"/>
      <c r="Y58" s="30"/>
      <c r="Z58" s="30"/>
      <c r="AA58" s="30"/>
      <c r="AB58" s="30"/>
      <c r="AC58" s="30"/>
      <c r="AD58" s="30"/>
      <c r="AE58" s="30"/>
      <c r="AF58" s="30"/>
      <c r="AG58" s="30"/>
      <c r="AH58" t="s">
        <v>1585</v>
      </c>
      <c r="AI58" t="s">
        <v>1557</v>
      </c>
      <c r="AJ58" t="str">
        <f t="shared" si="0"/>
        <v>O233 Transferencias CORRIENTES</v>
      </c>
      <c r="AO58" s="807">
        <v>4233</v>
      </c>
      <c r="AP58" t="s">
        <v>1557</v>
      </c>
      <c r="AQ58" t="str">
        <f t="shared" si="1"/>
        <v>4233 Transferencias CORRIENTES</v>
      </c>
    </row>
    <row r="59" spans="1:43" x14ac:dyDescent="0.25">
      <c r="A59" s="30"/>
      <c r="B59" s="30"/>
      <c r="C59" s="30"/>
      <c r="D59" s="30"/>
      <c r="E59" s="30"/>
      <c r="F59" s="30" t="s">
        <v>395</v>
      </c>
      <c r="G59" s="30" t="s">
        <v>579</v>
      </c>
      <c r="H59" s="30" t="s">
        <v>119</v>
      </c>
      <c r="I59" s="808" t="s">
        <v>1449</v>
      </c>
      <c r="J59" s="30"/>
      <c r="K59" s="30"/>
      <c r="L59" s="30"/>
      <c r="M59" s="30"/>
      <c r="N59" s="30"/>
      <c r="O59" s="30"/>
      <c r="P59" s="30"/>
      <c r="Q59" s="30"/>
      <c r="R59" s="30"/>
      <c r="S59" s="30"/>
      <c r="T59" s="460"/>
      <c r="U59" s="820"/>
      <c r="V59" s="30"/>
      <c r="W59" s="30"/>
      <c r="X59" s="30"/>
      <c r="Y59" s="30"/>
      <c r="Z59" s="30"/>
      <c r="AA59" s="30"/>
      <c r="AB59" s="30"/>
      <c r="AC59" s="30"/>
      <c r="AD59" s="30"/>
      <c r="AE59" s="30"/>
      <c r="AF59" s="30"/>
      <c r="AG59" s="30"/>
      <c r="AH59" t="s">
        <v>1586</v>
      </c>
      <c r="AI59" t="s">
        <v>1587</v>
      </c>
      <c r="AJ59" t="str">
        <f t="shared" si="0"/>
        <v>O23301 Subvenciones</v>
      </c>
      <c r="AO59" s="807">
        <v>423301</v>
      </c>
      <c r="AP59" t="s">
        <v>1587</v>
      </c>
      <c r="AQ59" t="str">
        <f t="shared" si="1"/>
        <v>423301 Subvenciones</v>
      </c>
    </row>
    <row r="60" spans="1:43" x14ac:dyDescent="0.25">
      <c r="A60" s="30"/>
      <c r="B60" s="30"/>
      <c r="C60" s="30"/>
      <c r="D60" s="30"/>
      <c r="E60" s="30"/>
      <c r="F60" s="30" t="s">
        <v>621</v>
      </c>
      <c r="G60" s="30" t="s">
        <v>596</v>
      </c>
      <c r="H60" s="30" t="s">
        <v>557</v>
      </c>
      <c r="I60" s="808" t="s">
        <v>1449</v>
      </c>
      <c r="J60" s="30"/>
      <c r="K60" s="30"/>
      <c r="L60" s="30"/>
      <c r="M60" s="30"/>
      <c r="N60" s="30"/>
      <c r="O60" s="30"/>
      <c r="P60" s="30"/>
      <c r="Q60" s="30"/>
      <c r="R60" s="30"/>
      <c r="S60" s="30"/>
      <c r="U60" s="820"/>
      <c r="V60" s="30"/>
      <c r="W60" s="30"/>
      <c r="X60" s="30"/>
      <c r="Y60" s="30"/>
      <c r="Z60" s="30"/>
      <c r="AA60" s="30"/>
      <c r="AB60" s="30"/>
      <c r="AC60" s="30"/>
      <c r="AD60" s="30"/>
      <c r="AE60" s="30"/>
      <c r="AF60" s="30"/>
      <c r="AG60" s="30"/>
      <c r="AH60" t="s">
        <v>1588</v>
      </c>
      <c r="AI60" t="s">
        <v>1589</v>
      </c>
      <c r="AJ60" t="str">
        <f t="shared" si="0"/>
        <v>O23302 A empresas diferentes de subvenciones</v>
      </c>
      <c r="AL60" s="807"/>
      <c r="AM60" s="803"/>
      <c r="AO60" s="807">
        <v>423302</v>
      </c>
      <c r="AP60" t="s">
        <v>1589</v>
      </c>
      <c r="AQ60" t="str">
        <f t="shared" si="1"/>
        <v>423302 A empresas diferentes de subvenciones</v>
      </c>
    </row>
    <row r="61" spans="1:43" x14ac:dyDescent="0.25">
      <c r="A61" s="30"/>
      <c r="B61" s="30"/>
      <c r="C61" s="30"/>
      <c r="D61" s="30"/>
      <c r="E61" s="30"/>
      <c r="F61" s="30" t="s">
        <v>622</v>
      </c>
      <c r="G61" s="30" t="s">
        <v>626</v>
      </c>
      <c r="H61" s="30" t="s">
        <v>547</v>
      </c>
      <c r="I61" s="30"/>
      <c r="J61" s="30"/>
      <c r="K61" s="30"/>
      <c r="L61" s="30"/>
      <c r="M61" s="30"/>
      <c r="N61" s="30"/>
      <c r="O61" s="30"/>
      <c r="P61" s="30"/>
      <c r="Q61" s="30"/>
      <c r="R61" s="30"/>
      <c r="S61" s="30"/>
      <c r="T61" s="821" t="s">
        <v>1590</v>
      </c>
      <c r="U61" s="820"/>
      <c r="V61" s="30"/>
      <c r="W61" s="30"/>
      <c r="X61" s="30"/>
      <c r="Y61" s="30"/>
      <c r="Z61" s="30"/>
      <c r="AA61" s="30"/>
      <c r="AB61" s="30"/>
      <c r="AC61" s="30"/>
      <c r="AD61" s="30"/>
      <c r="AE61" s="30"/>
      <c r="AF61" s="30"/>
      <c r="AG61" s="30"/>
      <c r="AH61" t="s">
        <v>1591</v>
      </c>
      <c r="AI61" t="s">
        <v>1561</v>
      </c>
      <c r="AJ61" t="str">
        <f t="shared" si="0"/>
        <v>O23305 A entidades del gobierno</v>
      </c>
      <c r="AL61" s="807"/>
      <c r="AM61" s="803"/>
      <c r="AO61" s="807">
        <v>423305</v>
      </c>
      <c r="AP61" t="s">
        <v>1561</v>
      </c>
      <c r="AQ61" t="str">
        <f t="shared" si="1"/>
        <v>423305 A entidades del gobierno</v>
      </c>
    </row>
    <row r="62" spans="1:43" x14ac:dyDescent="0.25">
      <c r="A62" s="30"/>
      <c r="B62" s="30"/>
      <c r="C62" s="30"/>
      <c r="D62" s="30"/>
      <c r="E62" s="30"/>
      <c r="F62" s="30" t="s">
        <v>398</v>
      </c>
      <c r="G62" s="30" t="s">
        <v>628</v>
      </c>
      <c r="H62" s="30" t="s">
        <v>541</v>
      </c>
      <c r="I62" s="30"/>
      <c r="J62" s="30"/>
      <c r="K62" s="30"/>
      <c r="L62" s="30"/>
      <c r="M62" s="30"/>
      <c r="N62" s="30"/>
      <c r="O62" s="30"/>
      <c r="P62" s="30"/>
      <c r="Q62" s="30"/>
      <c r="R62" s="30"/>
      <c r="S62" s="30"/>
      <c r="T62" s="821" t="s">
        <v>1592</v>
      </c>
      <c r="U62" s="820"/>
      <c r="V62" s="30"/>
      <c r="W62" s="30"/>
      <c r="X62" s="30"/>
      <c r="Y62" s="30"/>
      <c r="Z62" s="30"/>
      <c r="AA62" s="30"/>
      <c r="AB62" s="30"/>
      <c r="AC62" s="30"/>
      <c r="AD62" s="30"/>
      <c r="AE62" s="30"/>
      <c r="AF62" s="30"/>
      <c r="AG62" s="30"/>
      <c r="AH62" t="s">
        <v>1593</v>
      </c>
      <c r="AI62" t="s">
        <v>1594</v>
      </c>
      <c r="AJ62" t="str">
        <f t="shared" si="0"/>
        <v>O23307 Prestaciones para cubrir riesgos sociales</v>
      </c>
      <c r="AL62" s="807"/>
      <c r="AM62" s="803"/>
      <c r="AO62" s="807">
        <v>423307</v>
      </c>
      <c r="AP62" t="s">
        <v>1594</v>
      </c>
      <c r="AQ62" t="str">
        <f t="shared" si="1"/>
        <v>423307 Prestaciones para cubrir riesgos sociales</v>
      </c>
    </row>
    <row r="63" spans="1:43" x14ac:dyDescent="0.25">
      <c r="A63" s="30"/>
      <c r="B63" s="30"/>
      <c r="C63" s="30"/>
      <c r="D63" s="30"/>
      <c r="E63" s="30"/>
      <c r="F63" s="30" t="s">
        <v>399</v>
      </c>
      <c r="G63" s="30" t="s">
        <v>628</v>
      </c>
      <c r="H63" s="30" t="s">
        <v>559</v>
      </c>
      <c r="I63" s="30"/>
      <c r="J63" s="30"/>
      <c r="K63" s="30"/>
      <c r="L63" s="30"/>
      <c r="M63" s="30"/>
      <c r="N63" s="30"/>
      <c r="O63" s="30"/>
      <c r="P63" s="30"/>
      <c r="Q63" s="30"/>
      <c r="R63" s="30"/>
      <c r="S63" s="30"/>
      <c r="T63" s="821" t="s">
        <v>1595</v>
      </c>
      <c r="U63" s="820"/>
      <c r="V63" s="30"/>
      <c r="W63" s="30"/>
      <c r="X63" s="30"/>
      <c r="Y63" s="30"/>
      <c r="Z63" s="30"/>
      <c r="AA63" s="30"/>
      <c r="AB63" s="30"/>
      <c r="AC63" s="30"/>
      <c r="AD63" s="30"/>
      <c r="AE63" s="30"/>
      <c r="AF63" s="30"/>
      <c r="AG63" s="30"/>
      <c r="AH63" t="s">
        <v>1596</v>
      </c>
      <c r="AI63" t="s">
        <v>1597</v>
      </c>
      <c r="AJ63" t="str">
        <f t="shared" si="0"/>
        <v>O23313 Sentencias y conciliaciones</v>
      </c>
      <c r="AL63" s="807"/>
      <c r="AM63" s="803"/>
      <c r="AO63" s="807">
        <v>423313</v>
      </c>
      <c r="AP63" t="s">
        <v>1597</v>
      </c>
      <c r="AQ63" t="str">
        <f t="shared" si="1"/>
        <v>423313 Sentencias y conciliaciones</v>
      </c>
    </row>
    <row r="64" spans="1:43" x14ac:dyDescent="0.25">
      <c r="A64" s="30"/>
      <c r="B64" s="30"/>
      <c r="C64" s="30"/>
      <c r="D64" s="30"/>
      <c r="E64" s="30"/>
      <c r="F64" s="30" t="s">
        <v>400</v>
      </c>
      <c r="G64" s="30" t="s">
        <v>628</v>
      </c>
      <c r="H64" s="30" t="s">
        <v>550</v>
      </c>
      <c r="I64" s="30"/>
      <c r="J64" s="30"/>
      <c r="K64" s="30"/>
      <c r="L64" s="30"/>
      <c r="M64" s="30"/>
      <c r="N64" s="30"/>
      <c r="O64" s="30"/>
      <c r="P64" s="30"/>
      <c r="Q64" s="30"/>
      <c r="R64" s="30"/>
      <c r="S64" s="30"/>
      <c r="T64" s="821" t="s">
        <v>1598</v>
      </c>
      <c r="U64" s="820"/>
      <c r="V64" s="30"/>
      <c r="W64" s="30"/>
      <c r="X64" s="30"/>
      <c r="Y64" s="30"/>
      <c r="Z64" s="30"/>
      <c r="AA64" s="30"/>
      <c r="AB64" s="30"/>
      <c r="AC64" s="30"/>
      <c r="AD64" s="30"/>
      <c r="AE64" s="30"/>
      <c r="AF64" s="30"/>
      <c r="AG64" s="30"/>
      <c r="AH64" t="s">
        <v>1599</v>
      </c>
      <c r="AI64" t="s">
        <v>1600</v>
      </c>
      <c r="AJ64" t="str">
        <f t="shared" si="0"/>
        <v>O234 Transferencias para INVERSIÓN</v>
      </c>
      <c r="AL64" s="807"/>
      <c r="AM64" s="803"/>
      <c r="AO64" s="807">
        <v>4234</v>
      </c>
      <c r="AP64" t="s">
        <v>1600</v>
      </c>
      <c r="AQ64" t="str">
        <f t="shared" si="1"/>
        <v>4234 Transferencias para INVERSIÓN</v>
      </c>
    </row>
    <row r="65" spans="1:43" x14ac:dyDescent="0.25">
      <c r="A65" s="30"/>
      <c r="B65" s="30"/>
      <c r="C65" s="30"/>
      <c r="D65" s="30"/>
      <c r="E65" s="30"/>
      <c r="F65" s="30" t="s">
        <v>401</v>
      </c>
      <c r="G65" s="30" t="s">
        <v>628</v>
      </c>
      <c r="H65" s="30" t="s">
        <v>557</v>
      </c>
      <c r="I65" s="30"/>
      <c r="J65" s="30"/>
      <c r="K65" s="30"/>
      <c r="L65" s="30"/>
      <c r="M65" s="30"/>
      <c r="N65" s="30"/>
      <c r="O65" s="30"/>
      <c r="P65" s="30"/>
      <c r="Q65" s="30"/>
      <c r="R65" s="30"/>
      <c r="S65" s="30"/>
      <c r="T65" s="821" t="s">
        <v>1601</v>
      </c>
      <c r="U65" s="820"/>
      <c r="V65" s="30"/>
      <c r="W65" s="30"/>
      <c r="X65" s="30"/>
      <c r="Y65" s="30"/>
      <c r="Z65" s="30"/>
      <c r="AA65" s="30"/>
      <c r="AB65" s="30"/>
      <c r="AC65" s="30"/>
      <c r="AD65" s="30"/>
      <c r="AE65" s="30"/>
      <c r="AF65" s="30"/>
      <c r="AG65" s="30"/>
      <c r="AH65" t="s">
        <v>1602</v>
      </c>
      <c r="AI65" t="s">
        <v>1603</v>
      </c>
      <c r="AJ65" t="str">
        <f t="shared" si="0"/>
        <v>O23401 Transferencia Distrital</v>
      </c>
      <c r="AO65" s="807">
        <v>423401</v>
      </c>
      <c r="AP65" t="s">
        <v>1603</v>
      </c>
      <c r="AQ65" t="str">
        <f t="shared" si="1"/>
        <v>423401 Transferencia Distrital</v>
      </c>
    </row>
    <row r="66" spans="1:43" x14ac:dyDescent="0.25">
      <c r="A66" s="30"/>
      <c r="B66" s="30"/>
      <c r="C66" s="30"/>
      <c r="D66" s="30"/>
      <c r="E66" s="30"/>
      <c r="F66" s="30" t="s">
        <v>402</v>
      </c>
      <c r="G66" s="30" t="s">
        <v>600</v>
      </c>
      <c r="H66" s="30" t="s">
        <v>119</v>
      </c>
      <c r="I66" s="30"/>
      <c r="J66" s="30"/>
      <c r="K66" s="30"/>
      <c r="L66" s="30"/>
      <c r="M66" s="30"/>
      <c r="N66" s="30"/>
      <c r="O66" s="30"/>
      <c r="P66" s="30"/>
      <c r="Q66" s="30"/>
      <c r="R66" s="30"/>
      <c r="S66" s="30"/>
      <c r="T66" s="821" t="s">
        <v>1604</v>
      </c>
      <c r="U66" s="820"/>
      <c r="V66" s="30"/>
      <c r="W66" s="30"/>
      <c r="X66" s="30"/>
      <c r="Y66" s="30"/>
      <c r="Z66" s="30"/>
      <c r="AA66" s="30"/>
      <c r="AB66" s="1814" t="s">
        <v>1605</v>
      </c>
      <c r="AC66" s="1814"/>
      <c r="AD66" s="30"/>
      <c r="AE66" s="30"/>
      <c r="AF66" s="30"/>
      <c r="AG66" s="30"/>
      <c r="AH66" s="806" t="s">
        <v>1606</v>
      </c>
      <c r="AI66" s="803" t="s">
        <v>1607</v>
      </c>
      <c r="AJ66" t="str">
        <f t="shared" si="0"/>
        <v>O4 DISPONIBILIDAD FINAL</v>
      </c>
      <c r="AO66" s="806">
        <v>44</v>
      </c>
      <c r="AP66" s="803" t="s">
        <v>1607</v>
      </c>
      <c r="AQ66" t="str">
        <f t="shared" si="1"/>
        <v>44 DISPONIBILIDAD FINAL</v>
      </c>
    </row>
    <row r="67" spans="1:43" x14ac:dyDescent="0.25">
      <c r="A67" s="30"/>
      <c r="B67" s="30"/>
      <c r="C67" s="30"/>
      <c r="D67" s="30"/>
      <c r="E67" s="30"/>
      <c r="F67" s="30" t="s">
        <v>403</v>
      </c>
      <c r="G67" s="30" t="s">
        <v>628</v>
      </c>
      <c r="H67" s="30" t="s">
        <v>119</v>
      </c>
      <c r="I67" s="30"/>
      <c r="J67" s="30"/>
      <c r="K67" s="30"/>
      <c r="L67" s="30"/>
      <c r="M67" s="30"/>
      <c r="N67" s="30"/>
      <c r="O67" s="30"/>
      <c r="P67" s="30"/>
      <c r="Q67" s="30"/>
      <c r="R67" s="30"/>
      <c r="S67" s="30"/>
      <c r="U67" s="820"/>
      <c r="V67" s="30"/>
      <c r="W67" s="30"/>
      <c r="X67" s="30"/>
      <c r="Y67" s="30"/>
      <c r="Z67" s="30"/>
      <c r="AA67" s="30"/>
      <c r="AB67" s="30"/>
      <c r="AC67" s="30"/>
      <c r="AD67" s="30"/>
      <c r="AE67" s="30"/>
      <c r="AF67" s="30"/>
      <c r="AG67" s="30"/>
      <c r="AJ67" t="str">
        <f t="shared" si="0"/>
        <v xml:space="preserve"> </v>
      </c>
      <c r="AQ67" t="str">
        <f t="shared" si="1"/>
        <v xml:space="preserve"> </v>
      </c>
    </row>
    <row r="68" spans="1:43" x14ac:dyDescent="0.25">
      <c r="A68" s="30"/>
      <c r="B68" s="30"/>
      <c r="C68" s="30"/>
      <c r="D68" s="30"/>
      <c r="E68" s="30"/>
      <c r="F68" s="30" t="s">
        <v>404</v>
      </c>
      <c r="G68" s="30" t="s">
        <v>628</v>
      </c>
      <c r="H68" s="30" t="s">
        <v>550</v>
      </c>
      <c r="I68" s="30"/>
      <c r="J68" s="30"/>
      <c r="K68" s="30"/>
      <c r="L68" s="30"/>
      <c r="M68" s="30"/>
      <c r="N68" s="30"/>
      <c r="O68" s="30"/>
      <c r="P68" s="30"/>
      <c r="Q68" s="30"/>
      <c r="R68" s="30"/>
      <c r="S68" s="30"/>
      <c r="U68" s="820"/>
      <c r="V68" s="30"/>
      <c r="W68" s="30"/>
      <c r="X68" s="30"/>
      <c r="Y68" s="30"/>
      <c r="Z68" s="30"/>
      <c r="AA68" s="30"/>
      <c r="AB68" s="822" t="s">
        <v>819</v>
      </c>
      <c r="AC68" s="426" t="s">
        <v>820</v>
      </c>
      <c r="AE68" s="30"/>
      <c r="AF68" s="30"/>
      <c r="AG68" s="30"/>
      <c r="AH68" s="803" t="s">
        <v>1608</v>
      </c>
      <c r="AJ68" t="str">
        <f t="shared" si="0"/>
        <v xml:space="preserve">CÓDIGO OTROS GASTOS </v>
      </c>
      <c r="AO68" s="803" t="s">
        <v>1608</v>
      </c>
      <c r="AQ68" t="str">
        <f t="shared" si="1"/>
        <v xml:space="preserve">CÓDIGO OTROS GASTOS </v>
      </c>
    </row>
    <row r="69" spans="1:43" ht="14.65" customHeight="1" x14ac:dyDescent="0.25">
      <c r="A69" s="30"/>
      <c r="B69" s="30"/>
      <c r="C69" s="30"/>
      <c r="D69" s="30"/>
      <c r="E69" s="30"/>
      <c r="F69" s="282" t="s">
        <v>629</v>
      </c>
      <c r="G69" s="300" t="s">
        <v>624</v>
      </c>
      <c r="H69" s="30" t="s">
        <v>550</v>
      </c>
      <c r="K69" s="30"/>
      <c r="L69" s="30"/>
      <c r="M69" s="30"/>
      <c r="N69" s="30"/>
      <c r="O69" s="30"/>
      <c r="P69" s="30"/>
      <c r="Q69" s="30"/>
      <c r="R69" s="30"/>
      <c r="S69" s="30"/>
      <c r="U69" s="820"/>
      <c r="V69" s="30"/>
      <c r="W69" s="30"/>
      <c r="X69" s="30"/>
      <c r="Y69" s="30"/>
      <c r="Z69" s="30"/>
      <c r="AA69" s="30"/>
      <c r="AB69" s="823" t="s">
        <v>823</v>
      </c>
      <c r="AC69" s="824" t="s">
        <v>824</v>
      </c>
      <c r="AE69" s="30"/>
      <c r="AF69" s="30"/>
      <c r="AG69" s="30"/>
      <c r="AJ69" t="str">
        <f t="shared" ref="AJ69:AJ77" si="2">CONCATENATE(AH69," ",AI69)</f>
        <v xml:space="preserve"> </v>
      </c>
      <c r="AQ69" t="str">
        <f t="shared" ref="AQ69:AQ77" si="3">CONCATENATE(AO69," ",AP69)</f>
        <v xml:space="preserve"> </v>
      </c>
    </row>
    <row r="70" spans="1:43" ht="18.75" customHeight="1" x14ac:dyDescent="0.25">
      <c r="A70" s="30"/>
      <c r="B70" s="30"/>
      <c r="C70" s="30"/>
      <c r="D70" s="30"/>
      <c r="E70" s="30"/>
      <c r="F70" s="30" t="s">
        <v>120</v>
      </c>
      <c r="G70" s="30" t="s">
        <v>635</v>
      </c>
      <c r="H70" s="30" t="s">
        <v>119</v>
      </c>
      <c r="I70" s="808" t="s">
        <v>1449</v>
      </c>
      <c r="J70" s="30"/>
      <c r="K70" s="30"/>
      <c r="L70" s="30"/>
      <c r="M70" s="30"/>
      <c r="N70" s="30"/>
      <c r="O70" s="30"/>
      <c r="P70" s="30"/>
      <c r="Q70" s="30"/>
      <c r="R70" s="30"/>
      <c r="S70" s="30"/>
      <c r="U70" s="820"/>
      <c r="V70" s="30"/>
      <c r="W70" s="30"/>
      <c r="X70" s="30"/>
      <c r="Y70" s="30"/>
      <c r="Z70" s="30"/>
      <c r="AA70" s="30"/>
      <c r="AB70" s="823" t="s">
        <v>1609</v>
      </c>
      <c r="AC70" s="825" t="s">
        <v>825</v>
      </c>
      <c r="AE70" s="30"/>
      <c r="AF70" s="30"/>
      <c r="AG70" s="30"/>
      <c r="AH70" s="807">
        <v>45</v>
      </c>
      <c r="AI70" s="803" t="s">
        <v>823</v>
      </c>
      <c r="AJ70" t="str">
        <f>CONCATENATE(AH70," ",AI70)</f>
        <v>45 GASTOS DE COMERCIALIZACIÓN Y PRODUCCIÓN</v>
      </c>
      <c r="AO70" s="807">
        <v>45</v>
      </c>
      <c r="AP70" s="803" t="s">
        <v>823</v>
      </c>
      <c r="AQ70" t="str">
        <f t="shared" si="3"/>
        <v>45 GASTOS DE COMERCIALIZACIÓN Y PRODUCCIÓN</v>
      </c>
    </row>
    <row r="71" spans="1:43" x14ac:dyDescent="0.25">
      <c r="A71" s="30"/>
      <c r="B71" s="30"/>
      <c r="C71" s="30"/>
      <c r="D71" s="30"/>
      <c r="E71" s="30"/>
      <c r="F71" s="30" t="s">
        <v>632</v>
      </c>
      <c r="G71" s="30" t="s">
        <v>485</v>
      </c>
      <c r="H71" s="30" t="s">
        <v>530</v>
      </c>
      <c r="I71" s="30"/>
      <c r="J71" s="30"/>
      <c r="K71" s="30"/>
      <c r="L71" s="30"/>
      <c r="M71" s="30"/>
      <c r="N71" s="30"/>
      <c r="O71" s="30"/>
      <c r="P71" s="30"/>
      <c r="Q71" s="30"/>
      <c r="R71" s="30"/>
      <c r="S71" s="30"/>
      <c r="U71" s="820"/>
      <c r="V71" s="30"/>
      <c r="W71" s="30"/>
      <c r="X71" s="30"/>
      <c r="Y71" s="30"/>
      <c r="Z71" s="30"/>
      <c r="AA71" s="30"/>
      <c r="AB71" s="826"/>
      <c r="AC71" s="824" t="s">
        <v>1549</v>
      </c>
      <c r="AD71" s="30"/>
      <c r="AE71" s="30"/>
      <c r="AF71" s="30"/>
      <c r="AG71" s="30"/>
      <c r="AH71" s="807">
        <v>4501</v>
      </c>
      <c r="AI71" s="803" t="s">
        <v>823</v>
      </c>
      <c r="AJ71" t="str">
        <f t="shared" si="2"/>
        <v>4501 GASTOS DE COMERCIALIZACIÓN Y PRODUCCIÓN</v>
      </c>
      <c r="AO71" s="807">
        <v>4501</v>
      </c>
      <c r="AP71" s="803" t="s">
        <v>823</v>
      </c>
      <c r="AQ71" t="str">
        <f t="shared" si="3"/>
        <v>4501 GASTOS DE COMERCIALIZACIÓN Y PRODUCCIÓN</v>
      </c>
    </row>
    <row r="72" spans="1:43" x14ac:dyDescent="0.25">
      <c r="A72" s="30"/>
      <c r="B72" s="30"/>
      <c r="C72" s="30"/>
      <c r="D72" s="30"/>
      <c r="E72" s="30"/>
      <c r="F72" s="30" t="s">
        <v>406</v>
      </c>
      <c r="G72" s="30" t="s">
        <v>628</v>
      </c>
      <c r="H72" s="30" t="s">
        <v>550</v>
      </c>
      <c r="I72" s="30"/>
      <c r="J72" s="30"/>
      <c r="K72" s="30"/>
      <c r="L72" s="30"/>
      <c r="M72" s="30"/>
      <c r="N72" s="30"/>
      <c r="O72" s="30"/>
      <c r="P72" s="30"/>
      <c r="Q72" s="30"/>
      <c r="R72" s="30"/>
      <c r="S72" s="30"/>
      <c r="T72" s="30"/>
      <c r="U72" s="820"/>
      <c r="V72" s="30"/>
      <c r="W72" s="30"/>
      <c r="X72" s="30"/>
      <c r="Y72" s="30"/>
      <c r="Z72" s="30"/>
      <c r="AA72" s="30"/>
      <c r="AB72" s="826"/>
      <c r="AC72" s="826"/>
      <c r="AD72" s="30"/>
      <c r="AE72" s="30"/>
      <c r="AF72" s="30"/>
      <c r="AG72" s="30"/>
      <c r="AH72" s="807">
        <v>450101</v>
      </c>
      <c r="AI72" t="s">
        <v>1738</v>
      </c>
      <c r="AJ72" t="str">
        <f t="shared" si="2"/>
        <v>450101 Materiales y suministros</v>
      </c>
      <c r="AO72" s="807">
        <v>450101</v>
      </c>
      <c r="AP72" t="s">
        <v>1738</v>
      </c>
      <c r="AQ72" t="str">
        <f t="shared" si="3"/>
        <v>450101 Materiales y suministros</v>
      </c>
    </row>
    <row r="73" spans="1:43" ht="22.5" customHeight="1" x14ac:dyDescent="0.25">
      <c r="A73" s="30"/>
      <c r="B73" s="30"/>
      <c r="C73" s="30"/>
      <c r="D73" s="30"/>
      <c r="E73" s="30"/>
      <c r="F73" s="30" t="s">
        <v>407</v>
      </c>
      <c r="G73" s="30" t="s">
        <v>1549</v>
      </c>
      <c r="H73" s="30" t="s">
        <v>555</v>
      </c>
      <c r="I73" s="30"/>
      <c r="J73" s="30"/>
      <c r="K73" s="30"/>
      <c r="L73" s="30"/>
      <c r="M73" s="30"/>
      <c r="N73" s="30"/>
      <c r="O73" s="30"/>
      <c r="P73" s="30"/>
      <c r="Q73" s="30"/>
      <c r="R73" s="30"/>
      <c r="S73" s="30"/>
      <c r="T73" s="30"/>
      <c r="U73" s="820"/>
      <c r="V73" s="30"/>
      <c r="W73" s="30"/>
      <c r="X73" s="30"/>
      <c r="Y73" s="30"/>
      <c r="Z73" s="30"/>
      <c r="AA73" s="30"/>
      <c r="AB73" s="827" t="s">
        <v>826</v>
      </c>
      <c r="AC73" s="826"/>
      <c r="AD73" s="30"/>
      <c r="AE73" s="30"/>
      <c r="AF73" s="30"/>
      <c r="AG73" s="30"/>
      <c r="AH73" s="807">
        <v>16</v>
      </c>
      <c r="AI73" s="803" t="s">
        <v>826</v>
      </c>
      <c r="AJ73" t="str">
        <f t="shared" si="2"/>
        <v>16 RESERVAS PRESUPUESTALES CONSTITUIDAS</v>
      </c>
      <c r="AO73" s="807"/>
      <c r="AP73" s="803" t="s">
        <v>826</v>
      </c>
      <c r="AQ73" t="str">
        <f t="shared" si="3"/>
        <v xml:space="preserve"> RESERVAS PRESUPUESTALES CONSTITUIDAS</v>
      </c>
    </row>
    <row r="74" spans="1:43" x14ac:dyDescent="0.25">
      <c r="A74" s="30"/>
      <c r="B74" s="30"/>
      <c r="C74" s="30"/>
      <c r="D74" s="30"/>
      <c r="E74" s="30"/>
      <c r="F74" s="30" t="s">
        <v>408</v>
      </c>
      <c r="G74" s="30" t="s">
        <v>485</v>
      </c>
      <c r="H74" s="30" t="s">
        <v>535</v>
      </c>
      <c r="I74" s="30"/>
      <c r="J74" s="30"/>
      <c r="K74" s="30"/>
      <c r="L74" s="30"/>
      <c r="M74" s="30"/>
      <c r="N74" s="30"/>
      <c r="O74" s="30"/>
      <c r="P74" s="30"/>
      <c r="Q74" s="30"/>
      <c r="R74" s="30"/>
      <c r="S74" s="30"/>
      <c r="T74" s="30"/>
      <c r="U74" s="30"/>
      <c r="V74" s="30"/>
      <c r="W74" s="30"/>
      <c r="X74" s="30"/>
      <c r="Y74" s="30"/>
      <c r="Z74" s="30"/>
      <c r="AA74" s="30"/>
      <c r="AB74" s="827" t="s">
        <v>1609</v>
      </c>
      <c r="AC74" s="639"/>
      <c r="AD74" s="30"/>
      <c r="AE74" s="30"/>
      <c r="AF74" s="30"/>
      <c r="AG74" s="30"/>
      <c r="AH74" s="807">
        <v>17</v>
      </c>
      <c r="AI74" s="803" t="s">
        <v>827</v>
      </c>
      <c r="AJ74" t="str">
        <f t="shared" si="2"/>
        <v>17 CUENTAS POR PAGAR</v>
      </c>
      <c r="AO74" s="807"/>
      <c r="AP74" s="803" t="s">
        <v>827</v>
      </c>
      <c r="AQ74" t="str">
        <f t="shared" si="3"/>
        <v xml:space="preserve"> CUENTAS POR PAGAR</v>
      </c>
    </row>
    <row r="75" spans="1:43" x14ac:dyDescent="0.25">
      <c r="A75" s="30"/>
      <c r="B75" s="30"/>
      <c r="C75" s="30"/>
      <c r="D75" s="30"/>
      <c r="E75" s="30"/>
      <c r="F75" s="30" t="s">
        <v>409</v>
      </c>
      <c r="G75" s="30" t="s">
        <v>637</v>
      </c>
      <c r="H75" s="30" t="s">
        <v>483</v>
      </c>
      <c r="I75" s="30"/>
      <c r="J75" s="30"/>
      <c r="K75" s="30"/>
      <c r="L75" s="30"/>
      <c r="M75" s="30"/>
      <c r="N75" s="30"/>
      <c r="O75" s="30"/>
      <c r="P75" s="30"/>
      <c r="Q75" s="30"/>
      <c r="R75" s="30"/>
      <c r="S75" s="30"/>
      <c r="T75" s="30"/>
      <c r="U75" s="30"/>
      <c r="V75" s="30"/>
      <c r="W75" s="30"/>
      <c r="X75" s="30"/>
      <c r="Y75" s="30"/>
      <c r="Z75" s="30"/>
      <c r="AA75" s="30"/>
      <c r="AB75" s="828"/>
      <c r="AC75" s="826"/>
      <c r="AD75" s="30"/>
      <c r="AE75" s="30"/>
      <c r="AF75" s="30"/>
      <c r="AG75" s="30"/>
      <c r="AH75" s="807">
        <v>18</v>
      </c>
      <c r="AI75" s="803" t="s">
        <v>828</v>
      </c>
      <c r="AJ75" t="str">
        <f t="shared" si="2"/>
        <v>18 OBLIGACIONES POR PAGAR</v>
      </c>
      <c r="AP75" s="803" t="s">
        <v>828</v>
      </c>
      <c r="AQ75" t="str">
        <f t="shared" si="3"/>
        <v xml:space="preserve"> OBLIGACIONES POR PAGAR</v>
      </c>
    </row>
    <row r="76" spans="1:43" x14ac:dyDescent="0.25">
      <c r="A76" s="30"/>
      <c r="B76" s="30"/>
      <c r="C76" s="30"/>
      <c r="D76" s="30"/>
      <c r="E76" s="30"/>
      <c r="F76" s="30" t="s">
        <v>410</v>
      </c>
      <c r="G76" s="30" t="s">
        <v>637</v>
      </c>
      <c r="H76" s="30" t="s">
        <v>483</v>
      </c>
      <c r="I76" s="30"/>
      <c r="J76" s="30"/>
      <c r="K76" s="30"/>
      <c r="L76" s="30"/>
      <c r="M76" s="30"/>
      <c r="N76" s="30"/>
      <c r="O76" s="30"/>
      <c r="P76" s="30"/>
      <c r="Q76" s="30"/>
      <c r="R76" s="30"/>
      <c r="S76" s="30"/>
      <c r="T76" s="30"/>
      <c r="U76" s="30"/>
      <c r="V76" s="30"/>
      <c r="W76" s="30"/>
      <c r="X76" s="30"/>
      <c r="Y76" s="30"/>
      <c r="Z76" s="30"/>
      <c r="AA76" s="30"/>
      <c r="AB76" s="827" t="s">
        <v>827</v>
      </c>
      <c r="AC76" s="826"/>
      <c r="AD76" s="30"/>
      <c r="AE76" s="30"/>
      <c r="AF76" s="30"/>
      <c r="AG76" s="30"/>
      <c r="AH76" s="807">
        <v>19</v>
      </c>
      <c r="AI76" s="803" t="s">
        <v>520</v>
      </c>
      <c r="AJ76" t="str">
        <f t="shared" si="2"/>
        <v>19 PASIVOS EXIGIBLES</v>
      </c>
      <c r="AP76" s="803" t="s">
        <v>520</v>
      </c>
      <c r="AQ76" t="str">
        <f t="shared" si="3"/>
        <v xml:space="preserve"> PASIVOS EXIGIBLES</v>
      </c>
    </row>
    <row r="77" spans="1:43" x14ac:dyDescent="0.25">
      <c r="A77" s="30"/>
      <c r="B77" s="30"/>
      <c r="C77" s="30"/>
      <c r="D77" s="30"/>
      <c r="E77" s="30"/>
      <c r="F77" s="30" t="s">
        <v>411</v>
      </c>
      <c r="G77" s="30" t="s">
        <v>637</v>
      </c>
      <c r="H77" s="30" t="s">
        <v>483</v>
      </c>
      <c r="I77" s="30"/>
      <c r="J77" s="30"/>
      <c r="K77" s="30"/>
      <c r="L77" s="30"/>
      <c r="M77" s="30"/>
      <c r="N77" s="30"/>
      <c r="O77" s="30"/>
      <c r="P77" s="30"/>
      <c r="Q77" s="30"/>
      <c r="R77" s="30"/>
      <c r="S77" s="30"/>
      <c r="T77" s="30"/>
      <c r="U77" s="30"/>
      <c r="V77" s="30"/>
      <c r="W77" s="30"/>
      <c r="X77" s="30"/>
      <c r="Y77" s="30"/>
      <c r="Z77" s="30"/>
      <c r="AA77" s="30"/>
      <c r="AB77" s="827" t="s">
        <v>1609</v>
      </c>
      <c r="AC77" s="826"/>
      <c r="AD77" s="30"/>
      <c r="AE77" s="30"/>
      <c r="AF77" s="30"/>
      <c r="AG77" s="30"/>
      <c r="AH77" s="807">
        <v>20</v>
      </c>
      <c r="AI77" s="803" t="s">
        <v>527</v>
      </c>
      <c r="AJ77" t="str">
        <f t="shared" si="2"/>
        <v>20 VIGENCIAS FUTURAS</v>
      </c>
      <c r="AP77" s="803" t="s">
        <v>527</v>
      </c>
      <c r="AQ77" t="str">
        <f t="shared" si="3"/>
        <v xml:space="preserve"> VIGENCIAS FUTURAS</v>
      </c>
    </row>
    <row r="78" spans="1:43" x14ac:dyDescent="0.25">
      <c r="A78" s="30"/>
      <c r="B78" s="30"/>
      <c r="C78" s="30"/>
      <c r="D78" s="30"/>
      <c r="E78" s="30"/>
      <c r="F78" s="30" t="s">
        <v>412</v>
      </c>
      <c r="G78" s="30" t="s">
        <v>637</v>
      </c>
      <c r="H78" s="30" t="s">
        <v>483</v>
      </c>
      <c r="I78" s="30"/>
      <c r="J78" s="30"/>
      <c r="K78" s="30"/>
      <c r="L78" s="30"/>
      <c r="M78" s="30"/>
      <c r="N78" s="30"/>
      <c r="O78" s="30"/>
      <c r="P78" s="30"/>
      <c r="Q78" s="30"/>
      <c r="R78" s="30"/>
      <c r="S78" s="30"/>
      <c r="T78" s="30"/>
      <c r="U78" s="30"/>
      <c r="V78" s="30"/>
      <c r="W78" s="30"/>
      <c r="X78" s="30"/>
      <c r="Y78" s="30"/>
      <c r="Z78" s="30"/>
      <c r="AA78" s="30"/>
      <c r="AB78" s="828"/>
      <c r="AC78" s="826"/>
      <c r="AD78" s="30"/>
      <c r="AE78" s="30"/>
      <c r="AF78" s="30"/>
      <c r="AG78" s="30"/>
      <c r="AH78" s="807"/>
      <c r="AI78" s="803"/>
    </row>
    <row r="79" spans="1:43" x14ac:dyDescent="0.25">
      <c r="A79" s="30"/>
      <c r="B79" s="30"/>
      <c r="C79" s="30"/>
      <c r="D79" s="30"/>
      <c r="E79" s="30"/>
      <c r="F79" s="30" t="s">
        <v>413</v>
      </c>
      <c r="G79" s="30" t="s">
        <v>633</v>
      </c>
      <c r="H79" s="30" t="s">
        <v>483</v>
      </c>
      <c r="I79" s="30"/>
      <c r="J79" s="30"/>
      <c r="K79" s="30"/>
      <c r="L79" s="30"/>
      <c r="M79" s="30"/>
      <c r="N79" s="30"/>
      <c r="O79" s="30"/>
      <c r="P79" s="30"/>
      <c r="Q79" s="30"/>
      <c r="R79" s="30"/>
      <c r="S79" s="30"/>
      <c r="T79" s="30"/>
      <c r="U79" s="30"/>
      <c r="V79" s="30"/>
      <c r="W79" s="30"/>
      <c r="X79" s="30"/>
      <c r="Y79" s="30"/>
      <c r="Z79" s="30"/>
      <c r="AA79" s="30"/>
      <c r="AB79" s="828"/>
      <c r="AC79" s="826"/>
      <c r="AD79" s="30"/>
      <c r="AE79" s="30"/>
      <c r="AF79" s="30"/>
      <c r="AG79" s="30"/>
    </row>
    <row r="80" spans="1:43" ht="30" x14ac:dyDescent="0.25">
      <c r="A80" s="30"/>
      <c r="B80" s="30"/>
      <c r="C80" s="30"/>
      <c r="D80" s="30"/>
      <c r="E80" s="30"/>
      <c r="F80" s="30" t="s">
        <v>638</v>
      </c>
      <c r="G80" s="30" t="s">
        <v>596</v>
      </c>
      <c r="H80" s="30" t="s">
        <v>483</v>
      </c>
      <c r="I80" s="30"/>
      <c r="J80" s="30"/>
      <c r="K80" s="30"/>
      <c r="L80" s="30"/>
      <c r="M80" s="30"/>
      <c r="N80" s="30"/>
      <c r="O80" s="30"/>
      <c r="P80" s="30"/>
      <c r="Q80" s="30"/>
      <c r="R80" s="30"/>
      <c r="S80" s="30"/>
      <c r="T80" s="30"/>
      <c r="U80" s="30"/>
      <c r="V80" s="30"/>
      <c r="W80" s="30"/>
      <c r="X80" s="30"/>
      <c r="Y80" s="30"/>
      <c r="Z80" s="30"/>
      <c r="AA80" s="30"/>
      <c r="AB80" s="827" t="s">
        <v>828</v>
      </c>
      <c r="AC80" s="826"/>
      <c r="AD80" s="30"/>
      <c r="AE80" s="30"/>
      <c r="AF80" s="30" t="s">
        <v>1676</v>
      </c>
      <c r="AG80" s="30"/>
    </row>
    <row r="81" spans="1:33" x14ac:dyDescent="0.25">
      <c r="A81" s="30"/>
      <c r="B81" s="30"/>
      <c r="C81" s="30"/>
      <c r="D81" s="30"/>
      <c r="E81" s="30"/>
      <c r="F81" s="30" t="s">
        <v>640</v>
      </c>
      <c r="G81" s="30" t="s">
        <v>633</v>
      </c>
      <c r="H81" s="30" t="s">
        <v>483</v>
      </c>
      <c r="I81" s="808" t="s">
        <v>1449</v>
      </c>
      <c r="J81" s="30"/>
      <c r="K81" s="30"/>
      <c r="L81" s="30"/>
      <c r="M81" s="30"/>
      <c r="N81" s="30"/>
      <c r="O81" s="30"/>
      <c r="P81" s="30"/>
      <c r="Q81" s="30"/>
      <c r="R81" s="30"/>
      <c r="S81" s="30"/>
      <c r="T81" s="30"/>
      <c r="U81" s="30"/>
      <c r="V81" s="30"/>
      <c r="W81" s="30"/>
      <c r="X81" s="30"/>
      <c r="Y81" s="30"/>
      <c r="Z81" s="30"/>
      <c r="AA81" s="30"/>
      <c r="AB81" s="827" t="s">
        <v>1609</v>
      </c>
      <c r="AC81" s="826"/>
      <c r="AD81" s="30"/>
      <c r="AE81" s="30"/>
      <c r="AF81" s="30" t="s">
        <v>1740</v>
      </c>
      <c r="AG81" s="30"/>
    </row>
    <row r="82" spans="1:33" x14ac:dyDescent="0.25">
      <c r="A82" s="30"/>
      <c r="B82" s="30"/>
      <c r="C82" s="30"/>
      <c r="D82" s="30"/>
      <c r="E82" s="30"/>
      <c r="F82" s="30" t="s">
        <v>416</v>
      </c>
      <c r="G82" s="273" t="s">
        <v>605</v>
      </c>
      <c r="H82" s="30" t="s">
        <v>119</v>
      </c>
      <c r="I82" s="30"/>
      <c r="J82" s="30"/>
      <c r="K82" s="30"/>
      <c r="L82" s="30"/>
      <c r="M82" s="30"/>
      <c r="N82" s="30"/>
      <c r="O82" s="30"/>
      <c r="P82" s="30"/>
      <c r="Q82" s="30"/>
      <c r="R82" s="30"/>
      <c r="S82" s="30"/>
      <c r="T82" s="30"/>
      <c r="U82" s="30"/>
      <c r="V82" s="30"/>
      <c r="W82" s="30"/>
      <c r="X82" s="30"/>
      <c r="Y82" s="30"/>
      <c r="Z82" s="30"/>
      <c r="AA82" s="30"/>
      <c r="AB82" s="828"/>
      <c r="AC82" s="826"/>
      <c r="AD82" s="30"/>
      <c r="AE82" s="30"/>
      <c r="AF82" s="30" t="s">
        <v>1741</v>
      </c>
      <c r="AG82" s="30"/>
    </row>
    <row r="83" spans="1:33" x14ac:dyDescent="0.25">
      <c r="A83" s="30"/>
      <c r="B83" s="30"/>
      <c r="C83" s="30"/>
      <c r="D83" s="30"/>
      <c r="E83" s="30"/>
      <c r="F83" s="30" t="s">
        <v>642</v>
      </c>
      <c r="G83" s="30" t="s">
        <v>485</v>
      </c>
      <c r="H83" s="30" t="s">
        <v>539</v>
      </c>
      <c r="I83" s="30"/>
      <c r="J83" s="30"/>
      <c r="K83" s="30"/>
      <c r="L83" s="30"/>
      <c r="M83" s="30"/>
      <c r="N83" s="30"/>
      <c r="O83" s="30"/>
      <c r="P83" s="30"/>
      <c r="Q83" s="30"/>
      <c r="R83" s="30"/>
      <c r="S83" s="30"/>
      <c r="T83" s="30"/>
      <c r="U83" s="30"/>
      <c r="V83" s="30"/>
      <c r="W83" s="30"/>
      <c r="X83" s="30"/>
      <c r="Y83" s="30"/>
      <c r="Z83" s="30"/>
      <c r="AA83" s="30"/>
      <c r="AB83" s="828"/>
      <c r="AC83" s="826"/>
      <c r="AD83" s="30"/>
      <c r="AE83" s="30"/>
      <c r="AF83" s="30"/>
      <c r="AG83" s="30"/>
    </row>
    <row r="84" spans="1:33" x14ac:dyDescent="0.25">
      <c r="A84" s="30"/>
      <c r="B84" s="30"/>
      <c r="C84" s="30"/>
      <c r="D84" s="30"/>
      <c r="E84" s="30"/>
      <c r="F84" s="30" t="s">
        <v>1610</v>
      </c>
      <c r="G84" s="30" t="s">
        <v>598</v>
      </c>
      <c r="H84" s="30" t="s">
        <v>557</v>
      </c>
      <c r="I84" s="808" t="s">
        <v>1449</v>
      </c>
      <c r="J84" s="30"/>
      <c r="K84" s="30"/>
      <c r="L84" s="30"/>
      <c r="M84" s="30"/>
      <c r="N84" s="30"/>
      <c r="O84" s="30"/>
      <c r="P84" s="30"/>
      <c r="Q84" s="30"/>
      <c r="R84" s="30"/>
      <c r="S84" s="30"/>
      <c r="T84" s="30"/>
      <c r="U84" s="30"/>
      <c r="V84" s="30"/>
      <c r="W84" s="30"/>
      <c r="X84" s="30"/>
      <c r="Y84" s="30"/>
      <c r="Z84" s="30"/>
      <c r="AA84" s="30"/>
      <c r="AB84" s="827" t="s">
        <v>520</v>
      </c>
      <c r="AC84" s="826"/>
      <c r="AD84" s="30"/>
      <c r="AE84" s="30"/>
      <c r="AF84" s="30"/>
      <c r="AG84" s="30"/>
    </row>
    <row r="85" spans="1:33" x14ac:dyDescent="0.25">
      <c r="A85" s="30"/>
      <c r="B85" s="30"/>
      <c r="C85" s="30"/>
      <c r="D85" s="30"/>
      <c r="E85" s="30"/>
      <c r="F85" s="30" t="s">
        <v>419</v>
      </c>
      <c r="G85" s="30" t="s">
        <v>513</v>
      </c>
      <c r="H85" s="30" t="s">
        <v>547</v>
      </c>
      <c r="I85" s="808" t="s">
        <v>1449</v>
      </c>
      <c r="J85" s="30"/>
      <c r="K85" s="30"/>
      <c r="L85" s="30"/>
      <c r="M85" s="30"/>
      <c r="N85" s="30"/>
      <c r="O85" s="30"/>
      <c r="P85" s="30"/>
      <c r="Q85" s="30"/>
      <c r="R85" s="30"/>
      <c r="S85" s="30"/>
      <c r="T85" s="30"/>
      <c r="U85" s="30"/>
      <c r="V85" s="30"/>
      <c r="W85" s="30"/>
      <c r="X85" s="30"/>
      <c r="Y85" s="30"/>
      <c r="Z85" s="30"/>
      <c r="AA85" s="30"/>
      <c r="AB85" s="827" t="s">
        <v>1609</v>
      </c>
      <c r="AC85" s="826"/>
      <c r="AD85" s="30"/>
      <c r="AE85" s="30"/>
      <c r="AF85" s="30"/>
      <c r="AG85" s="30"/>
    </row>
    <row r="86" spans="1:33" x14ac:dyDescent="0.25">
      <c r="A86" s="30"/>
      <c r="B86" s="30"/>
      <c r="C86" s="30"/>
      <c r="D86" s="30"/>
      <c r="E86" s="30"/>
      <c r="F86" s="30" t="s">
        <v>644</v>
      </c>
      <c r="G86" s="30" t="s">
        <v>1549</v>
      </c>
      <c r="H86" s="30" t="s">
        <v>541</v>
      </c>
      <c r="I86" s="30"/>
      <c r="J86" s="30"/>
      <c r="K86" s="30"/>
      <c r="L86" s="30"/>
      <c r="M86" s="30"/>
      <c r="N86" s="30"/>
      <c r="O86" s="30"/>
      <c r="P86" s="30"/>
      <c r="Q86" s="30"/>
      <c r="R86" s="30"/>
      <c r="S86" s="30"/>
      <c r="T86" s="30"/>
      <c r="U86" s="30"/>
      <c r="V86" s="30"/>
      <c r="W86" s="30"/>
      <c r="X86" s="30"/>
      <c r="Y86" s="30"/>
      <c r="Z86" s="30"/>
      <c r="AA86" s="30"/>
      <c r="AB86" s="828"/>
      <c r="AC86" s="826"/>
      <c r="AD86" s="30"/>
      <c r="AE86" s="30"/>
      <c r="AF86" s="30"/>
      <c r="AG86" s="30"/>
    </row>
    <row r="87" spans="1:33" x14ac:dyDescent="0.25">
      <c r="A87" s="30"/>
      <c r="B87" s="30"/>
      <c r="C87" s="30"/>
      <c r="D87" s="30"/>
      <c r="E87" s="30"/>
      <c r="F87" s="30" t="s">
        <v>421</v>
      </c>
      <c r="G87" s="30" t="s">
        <v>485</v>
      </c>
      <c r="H87" s="30" t="s">
        <v>545</v>
      </c>
      <c r="I87" s="30"/>
      <c r="J87" s="30"/>
      <c r="K87" s="30"/>
      <c r="L87" s="30"/>
      <c r="M87" s="30"/>
      <c r="N87" s="30"/>
      <c r="O87" s="30"/>
      <c r="P87" s="30"/>
      <c r="Q87" s="30"/>
      <c r="R87" s="30"/>
      <c r="S87" s="30"/>
      <c r="T87" s="30"/>
      <c r="U87" s="30"/>
      <c r="V87" s="30"/>
      <c r="W87" s="30"/>
      <c r="X87" s="30"/>
      <c r="Y87" s="30"/>
      <c r="Z87" s="30"/>
      <c r="AA87" s="30"/>
      <c r="AB87" s="827" t="s">
        <v>527</v>
      </c>
      <c r="AC87" s="826"/>
      <c r="AD87" s="30"/>
      <c r="AE87" s="30"/>
      <c r="AF87" s="30"/>
      <c r="AG87" s="30"/>
    </row>
    <row r="88" spans="1:33" x14ac:dyDescent="0.25">
      <c r="A88" s="30"/>
      <c r="B88" s="30"/>
      <c r="C88" s="30"/>
      <c r="D88" s="30"/>
      <c r="E88" s="30"/>
      <c r="F88" s="30" t="s">
        <v>422</v>
      </c>
      <c r="G88" s="30" t="s">
        <v>485</v>
      </c>
      <c r="H88" s="30" t="s">
        <v>548</v>
      </c>
      <c r="I88" s="30"/>
      <c r="J88" s="30"/>
      <c r="K88" s="30"/>
      <c r="L88" s="30"/>
      <c r="M88" s="30"/>
      <c r="N88" s="30"/>
      <c r="O88" s="30"/>
      <c r="P88" s="30"/>
      <c r="Q88" s="30"/>
      <c r="R88" s="30"/>
      <c r="S88" s="30"/>
      <c r="T88" s="30"/>
      <c r="U88" s="30"/>
      <c r="V88" s="30"/>
      <c r="W88" s="30"/>
      <c r="X88" s="30"/>
      <c r="Y88" s="30"/>
      <c r="Z88" s="30"/>
      <c r="AA88" s="30"/>
      <c r="AB88" s="827" t="s">
        <v>1609</v>
      </c>
      <c r="AC88" s="826"/>
      <c r="AD88" s="30"/>
      <c r="AE88" s="30"/>
      <c r="AF88" s="30"/>
      <c r="AG88" s="30"/>
    </row>
    <row r="89" spans="1:33" x14ac:dyDescent="0.25">
      <c r="A89" s="30"/>
      <c r="B89" s="30"/>
      <c r="C89" s="30"/>
      <c r="D89" s="30"/>
      <c r="E89" s="30"/>
      <c r="F89" s="30" t="s">
        <v>423</v>
      </c>
      <c r="G89" s="273" t="s">
        <v>605</v>
      </c>
      <c r="H89" s="30" t="s">
        <v>119</v>
      </c>
      <c r="I89" s="30"/>
      <c r="J89" s="30"/>
      <c r="K89" s="30"/>
      <c r="L89" s="30"/>
      <c r="M89" s="30"/>
      <c r="N89" s="30"/>
      <c r="O89" s="30"/>
      <c r="P89" s="30"/>
      <c r="Q89" s="30"/>
      <c r="R89" s="30"/>
      <c r="S89" s="30"/>
      <c r="T89" s="30"/>
      <c r="U89" s="30"/>
      <c r="V89" s="30"/>
      <c r="W89" s="30"/>
      <c r="X89" s="30"/>
      <c r="Y89" s="30"/>
      <c r="Z89" s="30"/>
      <c r="AA89" s="30"/>
      <c r="AB89" s="30"/>
      <c r="AC89" s="30"/>
      <c r="AD89" s="30"/>
      <c r="AE89" s="30"/>
      <c r="AF89" s="30"/>
      <c r="AG89" s="30"/>
    </row>
    <row r="90" spans="1:33" x14ac:dyDescent="0.25">
      <c r="A90" s="30"/>
      <c r="B90" s="30"/>
      <c r="C90" s="30"/>
      <c r="D90" s="30"/>
      <c r="E90" s="30"/>
      <c r="F90" s="30" t="s">
        <v>424</v>
      </c>
      <c r="G90" s="30" t="s">
        <v>600</v>
      </c>
      <c r="H90" s="30" t="s">
        <v>119</v>
      </c>
      <c r="I90" s="30"/>
      <c r="J90" s="30"/>
      <c r="K90" s="30"/>
      <c r="L90" s="30"/>
      <c r="M90" s="30"/>
      <c r="N90" s="30"/>
      <c r="O90" s="30"/>
      <c r="P90" s="30"/>
      <c r="Q90" s="30"/>
      <c r="R90" s="30"/>
      <c r="S90" s="30"/>
      <c r="T90" s="30"/>
      <c r="U90" s="30"/>
      <c r="V90" s="30"/>
      <c r="W90" s="30"/>
      <c r="X90" s="30"/>
      <c r="Y90" s="30"/>
      <c r="Z90" s="30"/>
      <c r="AA90" s="30"/>
      <c r="AB90" s="30"/>
      <c r="AC90" s="30"/>
      <c r="AD90" s="30"/>
      <c r="AE90" s="30"/>
      <c r="AF90" s="30"/>
      <c r="AG90" s="30"/>
    </row>
    <row r="91" spans="1:33" x14ac:dyDescent="0.25">
      <c r="A91" s="30"/>
      <c r="B91" s="30"/>
      <c r="C91" s="30"/>
      <c r="D91" s="30"/>
      <c r="E91" s="30"/>
      <c r="F91" s="30" t="s">
        <v>425</v>
      </c>
      <c r="G91" s="273" t="s">
        <v>605</v>
      </c>
      <c r="H91" s="30" t="s">
        <v>119</v>
      </c>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row>
    <row r="92" spans="1:33" x14ac:dyDescent="0.25">
      <c r="A92" s="30"/>
      <c r="B92" s="30"/>
      <c r="C92" s="30"/>
      <c r="D92" s="30"/>
      <c r="E92" s="30"/>
      <c r="F92" s="30" t="s">
        <v>426</v>
      </c>
      <c r="G92" s="30" t="s">
        <v>628</v>
      </c>
      <c r="H92" s="30" t="s">
        <v>119</v>
      </c>
      <c r="I92" s="30"/>
      <c r="J92" s="30"/>
      <c r="K92" s="30"/>
      <c r="L92" s="30"/>
      <c r="M92" s="30"/>
      <c r="N92" s="30"/>
      <c r="O92" s="30"/>
      <c r="P92" s="30"/>
      <c r="Q92" s="30"/>
      <c r="R92" s="30"/>
      <c r="S92" s="30"/>
      <c r="T92" s="30"/>
      <c r="U92" s="30"/>
      <c r="V92" s="30"/>
      <c r="W92" s="30"/>
      <c r="X92" s="30"/>
      <c r="Y92" s="30"/>
      <c r="Z92" s="30"/>
      <c r="AA92" s="30"/>
      <c r="AB92" s="30"/>
      <c r="AC92" s="30"/>
      <c r="AD92" s="30"/>
      <c r="AE92" s="30"/>
      <c r="AF92" s="30"/>
      <c r="AG92" s="30"/>
    </row>
    <row r="93" spans="1:33" x14ac:dyDescent="0.25">
      <c r="A93" s="30"/>
      <c r="B93" s="30"/>
      <c r="C93" s="30"/>
      <c r="D93" s="30"/>
      <c r="E93" s="30"/>
      <c r="F93" s="30" t="s">
        <v>427</v>
      </c>
      <c r="G93" s="273" t="s">
        <v>605</v>
      </c>
      <c r="H93" s="30" t="s">
        <v>119</v>
      </c>
      <c r="I93" s="30"/>
      <c r="J93" s="30"/>
      <c r="K93" s="30"/>
      <c r="L93" s="30"/>
      <c r="M93" s="30"/>
      <c r="N93" s="30"/>
      <c r="O93" s="30"/>
      <c r="P93" s="30"/>
      <c r="Q93" s="30"/>
      <c r="R93" s="30"/>
      <c r="S93" s="30"/>
      <c r="T93" s="30"/>
      <c r="U93" s="30"/>
      <c r="V93" s="30"/>
      <c r="W93" s="30"/>
      <c r="X93" s="30"/>
      <c r="Y93" s="30"/>
      <c r="Z93" s="30"/>
      <c r="AA93" s="30"/>
      <c r="AB93" s="30"/>
      <c r="AC93" s="30"/>
      <c r="AD93" s="30"/>
      <c r="AE93" s="30"/>
      <c r="AF93" s="30"/>
      <c r="AG93" s="30"/>
    </row>
    <row r="94" spans="1:33" x14ac:dyDescent="0.25">
      <c r="A94" s="30"/>
      <c r="B94" s="30"/>
      <c r="C94" s="30"/>
      <c r="D94" s="30"/>
      <c r="E94" s="30"/>
      <c r="F94" s="30" t="s">
        <v>428</v>
      </c>
      <c r="G94" s="30" t="s">
        <v>600</v>
      </c>
      <c r="H94" s="30" t="s">
        <v>119</v>
      </c>
      <c r="I94" s="30"/>
      <c r="J94" s="30"/>
      <c r="K94" s="30"/>
      <c r="L94" s="30"/>
      <c r="M94" s="30"/>
      <c r="N94" s="30"/>
      <c r="O94" s="30"/>
      <c r="P94" s="30"/>
      <c r="Q94" s="30"/>
      <c r="R94" s="30"/>
      <c r="S94" s="30"/>
      <c r="T94" s="30"/>
      <c r="U94" s="30"/>
      <c r="V94" s="30"/>
      <c r="W94" s="30"/>
      <c r="X94" s="30"/>
      <c r="Y94" s="30"/>
      <c r="Z94" s="30"/>
      <c r="AA94" s="30"/>
      <c r="AB94" s="30"/>
      <c r="AC94" s="30"/>
      <c r="AD94" s="30"/>
      <c r="AE94" s="30"/>
      <c r="AF94" s="30"/>
      <c r="AG94" s="30"/>
    </row>
    <row r="95" spans="1:33" x14ac:dyDescent="0.25">
      <c r="A95" s="30"/>
      <c r="B95" s="30"/>
      <c r="C95" s="30"/>
      <c r="D95" s="30"/>
      <c r="E95" s="30"/>
      <c r="F95" s="30" t="s">
        <v>429</v>
      </c>
      <c r="G95" s="273" t="s">
        <v>605</v>
      </c>
      <c r="H95" s="30" t="s">
        <v>119</v>
      </c>
      <c r="I95" s="30"/>
      <c r="J95" s="30"/>
      <c r="K95" s="30"/>
      <c r="L95" s="30"/>
      <c r="M95" s="30"/>
      <c r="N95" s="30"/>
      <c r="O95" s="30"/>
      <c r="P95" s="30"/>
      <c r="Q95" s="30"/>
      <c r="R95" s="30"/>
      <c r="S95" s="30"/>
      <c r="T95" s="30"/>
      <c r="U95" s="30"/>
      <c r="V95" s="30"/>
      <c r="W95" s="30"/>
      <c r="X95" s="30"/>
      <c r="Y95" s="30"/>
      <c r="Z95" s="30"/>
      <c r="AA95" s="30"/>
      <c r="AB95" s="30"/>
      <c r="AC95" s="30"/>
      <c r="AD95" s="30"/>
      <c r="AE95" s="30"/>
      <c r="AF95" s="30"/>
      <c r="AG95" s="30"/>
    </row>
    <row r="96" spans="1:33" x14ac:dyDescent="0.25">
      <c r="A96" s="30"/>
      <c r="B96" s="30"/>
      <c r="C96" s="30"/>
      <c r="D96" s="30"/>
      <c r="E96" s="30"/>
      <c r="F96" s="30" t="s">
        <v>430</v>
      </c>
      <c r="G96" s="30" t="s">
        <v>600</v>
      </c>
      <c r="H96" s="30" t="s">
        <v>119</v>
      </c>
      <c r="I96" s="30"/>
      <c r="J96" s="30"/>
      <c r="K96" s="30"/>
      <c r="L96" s="30"/>
      <c r="M96" s="30"/>
      <c r="N96" s="30"/>
      <c r="O96" s="30"/>
      <c r="P96" s="30"/>
      <c r="Q96" s="30"/>
      <c r="R96" s="30"/>
      <c r="S96" s="30"/>
      <c r="T96" s="30"/>
      <c r="U96" s="30"/>
      <c r="V96" s="30"/>
      <c r="W96" s="30"/>
      <c r="X96" s="30"/>
      <c r="Y96" s="30"/>
      <c r="Z96" s="30"/>
      <c r="AA96" s="30"/>
      <c r="AB96" s="30"/>
      <c r="AC96" s="30"/>
      <c r="AD96" s="30"/>
      <c r="AE96" s="30"/>
      <c r="AF96" s="30"/>
      <c r="AG96" s="30"/>
    </row>
    <row r="97" spans="1:33" x14ac:dyDescent="0.25">
      <c r="A97" s="30"/>
      <c r="B97" s="30"/>
      <c r="C97" s="30"/>
      <c r="D97" s="30"/>
      <c r="E97" s="30"/>
      <c r="F97" s="30" t="s">
        <v>431</v>
      </c>
      <c r="G97" s="30" t="s">
        <v>600</v>
      </c>
      <c r="H97" s="30" t="s">
        <v>119</v>
      </c>
      <c r="I97" s="30"/>
      <c r="J97" s="30"/>
      <c r="K97" s="30"/>
      <c r="L97" s="30"/>
      <c r="M97" s="30"/>
      <c r="N97" s="30"/>
      <c r="O97" s="30"/>
      <c r="P97" s="30"/>
      <c r="Q97" s="30"/>
      <c r="R97" s="30"/>
      <c r="S97" s="30"/>
      <c r="T97" s="30"/>
      <c r="U97" s="30"/>
      <c r="V97" s="30"/>
      <c r="W97" s="30"/>
      <c r="X97" s="30"/>
      <c r="Y97" s="30"/>
      <c r="Z97" s="30"/>
      <c r="AA97" s="30"/>
      <c r="AB97" s="30"/>
      <c r="AC97" s="30"/>
      <c r="AD97" s="30"/>
      <c r="AE97" s="30"/>
      <c r="AF97" s="30"/>
      <c r="AG97" s="30"/>
    </row>
    <row r="98" spans="1:33" x14ac:dyDescent="0.25">
      <c r="A98" s="30"/>
      <c r="B98" s="30"/>
      <c r="C98" s="30"/>
      <c r="D98" s="30"/>
      <c r="E98" s="30"/>
      <c r="F98" s="30" t="s">
        <v>432</v>
      </c>
      <c r="G98" s="30" t="s">
        <v>600</v>
      </c>
      <c r="H98" s="30" t="s">
        <v>119</v>
      </c>
      <c r="I98" s="30"/>
      <c r="J98" s="30"/>
      <c r="K98" s="30"/>
      <c r="L98" s="30"/>
      <c r="M98" s="30"/>
      <c r="N98" s="30"/>
      <c r="O98" s="30"/>
      <c r="P98" s="30"/>
      <c r="Q98" s="30"/>
      <c r="R98" s="30"/>
      <c r="S98" s="30"/>
      <c r="T98" s="30"/>
      <c r="U98" s="30"/>
      <c r="V98" s="30"/>
      <c r="W98" s="30"/>
      <c r="X98" s="30"/>
      <c r="Y98" s="30"/>
      <c r="Z98" s="30"/>
      <c r="AA98" s="30"/>
      <c r="AB98" s="30"/>
      <c r="AC98" s="30"/>
      <c r="AD98" s="30"/>
      <c r="AE98" s="30"/>
      <c r="AF98" s="30"/>
      <c r="AG98" s="30"/>
    </row>
    <row r="99" spans="1:33" x14ac:dyDescent="0.25">
      <c r="A99" s="30"/>
      <c r="B99" s="30"/>
      <c r="C99" s="30"/>
      <c r="D99" s="30"/>
      <c r="E99" s="30"/>
      <c r="F99" s="30" t="s">
        <v>433</v>
      </c>
      <c r="G99" s="30" t="s">
        <v>485</v>
      </c>
      <c r="H99" s="30" t="s">
        <v>551</v>
      </c>
      <c r="I99" s="30"/>
      <c r="J99" s="30"/>
      <c r="K99" s="30"/>
      <c r="L99" s="30"/>
      <c r="M99" s="30"/>
      <c r="N99" s="30"/>
      <c r="O99" s="30"/>
      <c r="P99" s="30"/>
      <c r="Q99" s="30"/>
      <c r="R99" s="30"/>
      <c r="S99" s="30"/>
      <c r="T99" s="30"/>
      <c r="U99" s="30"/>
      <c r="V99" s="30"/>
      <c r="W99" s="30"/>
      <c r="X99" s="30"/>
      <c r="Y99" s="30"/>
      <c r="Z99" s="30"/>
      <c r="AA99" s="30"/>
      <c r="AB99" s="30"/>
      <c r="AC99" s="30"/>
      <c r="AD99" s="30"/>
      <c r="AE99" s="30"/>
      <c r="AF99" s="30"/>
      <c r="AG99" s="30"/>
    </row>
    <row r="100" spans="1:33" x14ac:dyDescent="0.25">
      <c r="A100" s="30"/>
      <c r="B100" s="30"/>
      <c r="C100" s="30"/>
      <c r="D100" s="30"/>
      <c r="E100" s="30"/>
      <c r="F100" s="30" t="s">
        <v>434</v>
      </c>
      <c r="G100" s="30" t="s">
        <v>485</v>
      </c>
      <c r="H100" s="30" t="s">
        <v>553</v>
      </c>
      <c r="I100" s="30"/>
      <c r="J100" s="30"/>
      <c r="K100" s="30"/>
      <c r="L100" s="30"/>
      <c r="M100" s="30"/>
      <c r="N100" s="30"/>
      <c r="O100" s="30"/>
      <c r="P100" s="30"/>
      <c r="Q100" s="30"/>
      <c r="R100" s="30"/>
      <c r="S100" s="30"/>
      <c r="T100" s="30"/>
      <c r="U100" s="30"/>
      <c r="V100" s="30"/>
      <c r="W100" s="30"/>
      <c r="X100" s="30"/>
      <c r="Y100" s="30"/>
      <c r="Z100" s="30"/>
      <c r="AA100" s="30"/>
      <c r="AB100" s="30"/>
      <c r="AC100" s="30"/>
      <c r="AD100" s="30"/>
      <c r="AE100" s="30"/>
      <c r="AF100" s="30"/>
      <c r="AG100" s="30"/>
    </row>
    <row r="101" spans="1:33" x14ac:dyDescent="0.25">
      <c r="A101" s="30"/>
      <c r="B101" s="30" t="s">
        <v>649</v>
      </c>
      <c r="C101" s="30"/>
      <c r="D101" s="30"/>
      <c r="E101" s="30"/>
      <c r="F101" s="30"/>
      <c r="G101" s="30"/>
      <c r="H101" s="30"/>
      <c r="I101" s="30"/>
      <c r="J101" s="30"/>
      <c r="K101" s="30"/>
      <c r="L101" s="30"/>
      <c r="M101" s="30"/>
      <c r="N101" s="30"/>
      <c r="O101" s="30"/>
      <c r="P101" s="30"/>
      <c r="Q101" s="30"/>
      <c r="R101" s="30"/>
      <c r="S101" s="30"/>
      <c r="T101" s="30"/>
      <c r="U101" s="30"/>
      <c r="V101" s="30"/>
      <c r="W101" s="30"/>
      <c r="X101" s="30"/>
      <c r="Y101" s="30"/>
      <c r="Z101" s="30"/>
      <c r="AA101" s="30"/>
      <c r="AB101" s="30"/>
      <c r="AC101" s="30"/>
      <c r="AD101" s="30"/>
      <c r="AE101" s="30"/>
      <c r="AF101" s="30"/>
      <c r="AG101" s="30"/>
    </row>
    <row r="102" spans="1:33" x14ac:dyDescent="0.25">
      <c r="A102" s="30"/>
      <c r="B102" s="30" t="s">
        <v>487</v>
      </c>
      <c r="C102" s="30"/>
      <c r="D102" s="30"/>
      <c r="E102" s="30"/>
      <c r="F102" s="30"/>
      <c r="G102" s="30"/>
      <c r="H102" s="30"/>
      <c r="I102" s="30"/>
      <c r="J102" s="30"/>
      <c r="K102" s="30"/>
      <c r="L102" s="30"/>
      <c r="M102" s="30"/>
      <c r="N102" s="30"/>
      <c r="O102" s="30"/>
      <c r="P102" s="30"/>
      <c r="Q102" s="30"/>
      <c r="R102" s="30"/>
      <c r="S102" s="30"/>
      <c r="T102" s="30"/>
      <c r="U102" s="30"/>
      <c r="V102" s="30"/>
      <c r="W102" s="30"/>
      <c r="X102" s="30"/>
      <c r="Y102" s="30"/>
      <c r="Z102" s="30"/>
      <c r="AA102" s="30"/>
      <c r="AB102" s="30"/>
      <c r="AC102" s="30"/>
      <c r="AD102" s="30"/>
      <c r="AE102" s="30"/>
      <c r="AF102" s="30"/>
      <c r="AG102" s="30"/>
    </row>
    <row r="103" spans="1:33" x14ac:dyDescent="0.25">
      <c r="A103" s="30"/>
      <c r="B103" s="30" t="s">
        <v>505</v>
      </c>
      <c r="C103" s="30"/>
      <c r="D103" s="30"/>
      <c r="E103" s="30"/>
      <c r="F103" s="30"/>
      <c r="G103" s="30"/>
      <c r="H103" s="30"/>
      <c r="I103" s="30"/>
      <c r="J103" s="30"/>
      <c r="K103" s="30"/>
      <c r="L103" s="30"/>
      <c r="M103" s="30"/>
      <c r="N103" s="30"/>
      <c r="O103" s="30"/>
      <c r="P103" s="30"/>
      <c r="Q103" s="30"/>
      <c r="R103" s="30"/>
      <c r="S103" s="30"/>
      <c r="T103" s="30"/>
      <c r="U103" s="30"/>
      <c r="V103" s="30"/>
      <c r="W103" s="30"/>
      <c r="X103" s="30"/>
      <c r="Y103" s="30"/>
      <c r="Z103" s="30"/>
      <c r="AA103" s="30"/>
      <c r="AB103" s="30"/>
      <c r="AC103" s="30"/>
      <c r="AD103" s="30"/>
      <c r="AE103" s="30"/>
      <c r="AF103" s="30"/>
      <c r="AG103" s="30"/>
    </row>
    <row r="104" spans="1:33" x14ac:dyDescent="0.25">
      <c r="A104" s="30"/>
      <c r="B104" s="30"/>
      <c r="C104" s="30"/>
      <c r="D104" s="30"/>
      <c r="E104" s="30"/>
      <c r="F104" s="30"/>
      <c r="G104" s="30"/>
      <c r="H104" s="30"/>
      <c r="I104" s="30"/>
      <c r="J104" s="30"/>
      <c r="K104" s="30"/>
      <c r="L104" s="30"/>
      <c r="M104" s="30"/>
      <c r="N104" s="30"/>
      <c r="O104" s="30"/>
      <c r="P104" s="30"/>
      <c r="Q104" s="30"/>
      <c r="R104" s="30"/>
      <c r="S104" s="30"/>
      <c r="T104" s="30"/>
      <c r="U104" s="30"/>
      <c r="V104" s="30"/>
      <c r="W104" s="30"/>
      <c r="X104" s="30"/>
      <c r="Y104" s="30"/>
      <c r="Z104" s="30"/>
      <c r="AA104" s="30"/>
      <c r="AB104" s="30"/>
      <c r="AC104" s="30"/>
      <c r="AD104" s="30"/>
      <c r="AE104" s="30"/>
      <c r="AF104" s="30"/>
      <c r="AG104" s="30"/>
    </row>
  </sheetData>
  <mergeCells count="6">
    <mergeCell ref="AB66:AC66"/>
    <mergeCell ref="AB2:AB3"/>
    <mergeCell ref="AC2:AD2"/>
    <mergeCell ref="AH2:AN2"/>
    <mergeCell ref="AO2:AT2"/>
    <mergeCell ref="AC7:AD7"/>
  </mergeCells>
  <pageMargins left="0.7" right="0.7" top="0.75" bottom="0.75" header="0.3" footer="0.3"/>
  <drawing r:id="rId1"/>
  <tableParts count="1">
    <tablePart r:id="rId2"/>
  </tableParts>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AW622"/>
  <sheetViews>
    <sheetView topLeftCell="A7" zoomScaleNormal="100" workbookViewId="0">
      <selection activeCell="E25" sqref="E25"/>
    </sheetView>
  </sheetViews>
  <sheetFormatPr baseColWidth="10" defaultRowHeight="15" x14ac:dyDescent="0.2"/>
  <cols>
    <col min="1" max="1" width="5.42578125" style="1056" customWidth="1"/>
    <col min="2" max="2" width="27.28515625" style="1111" customWidth="1"/>
    <col min="3" max="3" width="31.28515625" style="1111" customWidth="1"/>
    <col min="4" max="4" width="37.7109375" style="1045" customWidth="1"/>
    <col min="5" max="6" width="21.28515625" style="1045" customWidth="1"/>
    <col min="7" max="7" width="14.85546875" style="1045" customWidth="1"/>
    <col min="8" max="9" width="18.140625" style="1045" customWidth="1"/>
    <col min="10" max="10" width="15.42578125" style="1045" customWidth="1"/>
    <col min="11" max="11" width="17.85546875" style="1109" customWidth="1"/>
    <col min="12" max="12" width="15.140625" style="1111" customWidth="1"/>
    <col min="13" max="13" width="15.42578125" style="1111" customWidth="1"/>
    <col min="14" max="14" width="15.7109375" style="1109" customWidth="1"/>
    <col min="15" max="15" width="16.42578125" style="1111" customWidth="1"/>
    <col min="16" max="16" width="15.42578125" style="1111" customWidth="1"/>
    <col min="17" max="17" width="14.7109375" style="1111" customWidth="1"/>
    <col min="18" max="18" width="14.28515625" style="1111" customWidth="1"/>
    <col min="19" max="19" width="15.42578125" style="1111" customWidth="1"/>
    <col min="20" max="20" width="16" style="1112" customWidth="1"/>
    <col min="21" max="21" width="16" style="1111" customWidth="1"/>
    <col min="22" max="22" width="15" style="1111" customWidth="1"/>
    <col min="23" max="23" width="21.42578125" style="1114" customWidth="1"/>
    <col min="24" max="256" width="11.5703125" style="1056"/>
    <col min="257" max="257" width="5.42578125" style="1056" customWidth="1"/>
    <col min="258" max="258" width="34.42578125" style="1056" customWidth="1"/>
    <col min="259" max="259" width="27.7109375" style="1056" customWidth="1"/>
    <col min="260" max="260" width="18.140625" style="1056" customWidth="1"/>
    <col min="261" max="261" width="24" style="1056" customWidth="1"/>
    <col min="262" max="262" width="16" style="1056" customWidth="1"/>
    <col min="263" max="263" width="16.140625" style="1056" customWidth="1"/>
    <col min="264" max="264" width="15.7109375" style="1056" customWidth="1"/>
    <col min="265" max="265" width="17.42578125" style="1056" customWidth="1"/>
    <col min="266" max="267" width="16.7109375" style="1056" customWidth="1"/>
    <col min="268" max="268" width="13.140625" style="1056" customWidth="1"/>
    <col min="269" max="269" width="14" style="1056" customWidth="1"/>
    <col min="270" max="270" width="17.28515625" style="1056" customWidth="1"/>
    <col min="271" max="271" width="16.42578125" style="1056" customWidth="1"/>
    <col min="272" max="273" width="15.42578125" style="1056" customWidth="1"/>
    <col min="274" max="274" width="25.7109375" style="1056" customWidth="1"/>
    <col min="275" max="275" width="31.7109375" style="1056" customWidth="1"/>
    <col min="276" max="276" width="34.140625" style="1056" customWidth="1"/>
    <col min="277" max="277" width="37.7109375" style="1056" customWidth="1"/>
    <col min="278" max="278" width="48.7109375" style="1056" customWidth="1"/>
    <col min="279" max="279" width="29.42578125" style="1056" customWidth="1"/>
    <col min="280" max="512" width="11.5703125" style="1056"/>
    <col min="513" max="513" width="5.42578125" style="1056" customWidth="1"/>
    <col min="514" max="514" width="34.42578125" style="1056" customWidth="1"/>
    <col min="515" max="515" width="27.7109375" style="1056" customWidth="1"/>
    <col min="516" max="516" width="18.140625" style="1056" customWidth="1"/>
    <col min="517" max="517" width="24" style="1056" customWidth="1"/>
    <col min="518" max="518" width="16" style="1056" customWidth="1"/>
    <col min="519" max="519" width="16.140625" style="1056" customWidth="1"/>
    <col min="520" max="520" width="15.7109375" style="1056" customWidth="1"/>
    <col min="521" max="521" width="17.42578125" style="1056" customWidth="1"/>
    <col min="522" max="523" width="16.7109375" style="1056" customWidth="1"/>
    <col min="524" max="524" width="13.140625" style="1056" customWidth="1"/>
    <col min="525" max="525" width="14" style="1056" customWidth="1"/>
    <col min="526" max="526" width="17.28515625" style="1056" customWidth="1"/>
    <col min="527" max="527" width="16.42578125" style="1056" customWidth="1"/>
    <col min="528" max="529" width="15.42578125" style="1056" customWidth="1"/>
    <col min="530" max="530" width="25.7109375" style="1056" customWidth="1"/>
    <col min="531" max="531" width="31.7109375" style="1056" customWidth="1"/>
    <col min="532" max="532" width="34.140625" style="1056" customWidth="1"/>
    <col min="533" max="533" width="37.7109375" style="1056" customWidth="1"/>
    <col min="534" max="534" width="48.7109375" style="1056" customWidth="1"/>
    <col min="535" max="535" width="29.42578125" style="1056" customWidth="1"/>
    <col min="536" max="768" width="11.5703125" style="1056"/>
    <col min="769" max="769" width="5.42578125" style="1056" customWidth="1"/>
    <col min="770" max="770" width="34.42578125" style="1056" customWidth="1"/>
    <col min="771" max="771" width="27.7109375" style="1056" customWidth="1"/>
    <col min="772" max="772" width="18.140625" style="1056" customWidth="1"/>
    <col min="773" max="773" width="24" style="1056" customWidth="1"/>
    <col min="774" max="774" width="16" style="1056" customWidth="1"/>
    <col min="775" max="775" width="16.140625" style="1056" customWidth="1"/>
    <col min="776" max="776" width="15.7109375" style="1056" customWidth="1"/>
    <col min="777" max="777" width="17.42578125" style="1056" customWidth="1"/>
    <col min="778" max="779" width="16.7109375" style="1056" customWidth="1"/>
    <col min="780" max="780" width="13.140625" style="1056" customWidth="1"/>
    <col min="781" max="781" width="14" style="1056" customWidth="1"/>
    <col min="782" max="782" width="17.28515625" style="1056" customWidth="1"/>
    <col min="783" max="783" width="16.42578125" style="1056" customWidth="1"/>
    <col min="784" max="785" width="15.42578125" style="1056" customWidth="1"/>
    <col min="786" max="786" width="25.7109375" style="1056" customWidth="1"/>
    <col min="787" max="787" width="31.7109375" style="1056" customWidth="1"/>
    <col min="788" max="788" width="34.140625" style="1056" customWidth="1"/>
    <col min="789" max="789" width="37.7109375" style="1056" customWidth="1"/>
    <col min="790" max="790" width="48.7109375" style="1056" customWidth="1"/>
    <col min="791" max="791" width="29.42578125" style="1056" customWidth="1"/>
    <col min="792" max="1024" width="11.5703125" style="1056"/>
    <col min="1025" max="1025" width="5.42578125" style="1056" customWidth="1"/>
    <col min="1026" max="1026" width="34.42578125" style="1056" customWidth="1"/>
    <col min="1027" max="1027" width="27.7109375" style="1056" customWidth="1"/>
    <col min="1028" max="1028" width="18.140625" style="1056" customWidth="1"/>
    <col min="1029" max="1029" width="24" style="1056" customWidth="1"/>
    <col min="1030" max="1030" width="16" style="1056" customWidth="1"/>
    <col min="1031" max="1031" width="16.140625" style="1056" customWidth="1"/>
    <col min="1032" max="1032" width="15.7109375" style="1056" customWidth="1"/>
    <col min="1033" max="1033" width="17.42578125" style="1056" customWidth="1"/>
    <col min="1034" max="1035" width="16.7109375" style="1056" customWidth="1"/>
    <col min="1036" max="1036" width="13.140625" style="1056" customWidth="1"/>
    <col min="1037" max="1037" width="14" style="1056" customWidth="1"/>
    <col min="1038" max="1038" width="17.28515625" style="1056" customWidth="1"/>
    <col min="1039" max="1039" width="16.42578125" style="1056" customWidth="1"/>
    <col min="1040" max="1041" width="15.42578125" style="1056" customWidth="1"/>
    <col min="1042" max="1042" width="25.7109375" style="1056" customWidth="1"/>
    <col min="1043" max="1043" width="31.7109375" style="1056" customWidth="1"/>
    <col min="1044" max="1044" width="34.140625" style="1056" customWidth="1"/>
    <col min="1045" max="1045" width="37.7109375" style="1056" customWidth="1"/>
    <col min="1046" max="1046" width="48.7109375" style="1056" customWidth="1"/>
    <col min="1047" max="1047" width="29.42578125" style="1056" customWidth="1"/>
    <col min="1048" max="1280" width="11.5703125" style="1056"/>
    <col min="1281" max="1281" width="5.42578125" style="1056" customWidth="1"/>
    <col min="1282" max="1282" width="34.42578125" style="1056" customWidth="1"/>
    <col min="1283" max="1283" width="27.7109375" style="1056" customWidth="1"/>
    <col min="1284" max="1284" width="18.140625" style="1056" customWidth="1"/>
    <col min="1285" max="1285" width="24" style="1056" customWidth="1"/>
    <col min="1286" max="1286" width="16" style="1056" customWidth="1"/>
    <col min="1287" max="1287" width="16.140625" style="1056" customWidth="1"/>
    <col min="1288" max="1288" width="15.7109375" style="1056" customWidth="1"/>
    <col min="1289" max="1289" width="17.42578125" style="1056" customWidth="1"/>
    <col min="1290" max="1291" width="16.7109375" style="1056" customWidth="1"/>
    <col min="1292" max="1292" width="13.140625" style="1056" customWidth="1"/>
    <col min="1293" max="1293" width="14" style="1056" customWidth="1"/>
    <col min="1294" max="1294" width="17.28515625" style="1056" customWidth="1"/>
    <col min="1295" max="1295" width="16.42578125" style="1056" customWidth="1"/>
    <col min="1296" max="1297" width="15.42578125" style="1056" customWidth="1"/>
    <col min="1298" max="1298" width="25.7109375" style="1056" customWidth="1"/>
    <col min="1299" max="1299" width="31.7109375" style="1056" customWidth="1"/>
    <col min="1300" max="1300" width="34.140625" style="1056" customWidth="1"/>
    <col min="1301" max="1301" width="37.7109375" style="1056" customWidth="1"/>
    <col min="1302" max="1302" width="48.7109375" style="1056" customWidth="1"/>
    <col min="1303" max="1303" width="29.42578125" style="1056" customWidth="1"/>
    <col min="1304" max="1536" width="11.5703125" style="1056"/>
    <col min="1537" max="1537" width="5.42578125" style="1056" customWidth="1"/>
    <col min="1538" max="1538" width="34.42578125" style="1056" customWidth="1"/>
    <col min="1539" max="1539" width="27.7109375" style="1056" customWidth="1"/>
    <col min="1540" max="1540" width="18.140625" style="1056" customWidth="1"/>
    <col min="1541" max="1541" width="24" style="1056" customWidth="1"/>
    <col min="1542" max="1542" width="16" style="1056" customWidth="1"/>
    <col min="1543" max="1543" width="16.140625" style="1056" customWidth="1"/>
    <col min="1544" max="1544" width="15.7109375" style="1056" customWidth="1"/>
    <col min="1545" max="1545" width="17.42578125" style="1056" customWidth="1"/>
    <col min="1546" max="1547" width="16.7109375" style="1056" customWidth="1"/>
    <col min="1548" max="1548" width="13.140625" style="1056" customWidth="1"/>
    <col min="1549" max="1549" width="14" style="1056" customWidth="1"/>
    <col min="1550" max="1550" width="17.28515625" style="1056" customWidth="1"/>
    <col min="1551" max="1551" width="16.42578125" style="1056" customWidth="1"/>
    <col min="1552" max="1553" width="15.42578125" style="1056" customWidth="1"/>
    <col min="1554" max="1554" width="25.7109375" style="1056" customWidth="1"/>
    <col min="1555" max="1555" width="31.7109375" style="1056" customWidth="1"/>
    <col min="1556" max="1556" width="34.140625" style="1056" customWidth="1"/>
    <col min="1557" max="1557" width="37.7109375" style="1056" customWidth="1"/>
    <col min="1558" max="1558" width="48.7109375" style="1056" customWidth="1"/>
    <col min="1559" max="1559" width="29.42578125" style="1056" customWidth="1"/>
    <col min="1560" max="1792" width="11.5703125" style="1056"/>
    <col min="1793" max="1793" width="5.42578125" style="1056" customWidth="1"/>
    <col min="1794" max="1794" width="34.42578125" style="1056" customWidth="1"/>
    <col min="1795" max="1795" width="27.7109375" style="1056" customWidth="1"/>
    <col min="1796" max="1796" width="18.140625" style="1056" customWidth="1"/>
    <col min="1797" max="1797" width="24" style="1056" customWidth="1"/>
    <col min="1798" max="1798" width="16" style="1056" customWidth="1"/>
    <col min="1799" max="1799" width="16.140625" style="1056" customWidth="1"/>
    <col min="1800" max="1800" width="15.7109375" style="1056" customWidth="1"/>
    <col min="1801" max="1801" width="17.42578125" style="1056" customWidth="1"/>
    <col min="1802" max="1803" width="16.7109375" style="1056" customWidth="1"/>
    <col min="1804" max="1804" width="13.140625" style="1056" customWidth="1"/>
    <col min="1805" max="1805" width="14" style="1056" customWidth="1"/>
    <col min="1806" max="1806" width="17.28515625" style="1056" customWidth="1"/>
    <col min="1807" max="1807" width="16.42578125" style="1056" customWidth="1"/>
    <col min="1808" max="1809" width="15.42578125" style="1056" customWidth="1"/>
    <col min="1810" max="1810" width="25.7109375" style="1056" customWidth="1"/>
    <col min="1811" max="1811" width="31.7109375" style="1056" customWidth="1"/>
    <col min="1812" max="1812" width="34.140625" style="1056" customWidth="1"/>
    <col min="1813" max="1813" width="37.7109375" style="1056" customWidth="1"/>
    <col min="1814" max="1814" width="48.7109375" style="1056" customWidth="1"/>
    <col min="1815" max="1815" width="29.42578125" style="1056" customWidth="1"/>
    <col min="1816" max="2048" width="11.5703125" style="1056"/>
    <col min="2049" max="2049" width="5.42578125" style="1056" customWidth="1"/>
    <col min="2050" max="2050" width="34.42578125" style="1056" customWidth="1"/>
    <col min="2051" max="2051" width="27.7109375" style="1056" customWidth="1"/>
    <col min="2052" max="2052" width="18.140625" style="1056" customWidth="1"/>
    <col min="2053" max="2053" width="24" style="1056" customWidth="1"/>
    <col min="2054" max="2054" width="16" style="1056" customWidth="1"/>
    <col min="2055" max="2055" width="16.140625" style="1056" customWidth="1"/>
    <col min="2056" max="2056" width="15.7109375" style="1056" customWidth="1"/>
    <col min="2057" max="2057" width="17.42578125" style="1056" customWidth="1"/>
    <col min="2058" max="2059" width="16.7109375" style="1056" customWidth="1"/>
    <col min="2060" max="2060" width="13.140625" style="1056" customWidth="1"/>
    <col min="2061" max="2061" width="14" style="1056" customWidth="1"/>
    <col min="2062" max="2062" width="17.28515625" style="1056" customWidth="1"/>
    <col min="2063" max="2063" width="16.42578125" style="1056" customWidth="1"/>
    <col min="2064" max="2065" width="15.42578125" style="1056" customWidth="1"/>
    <col min="2066" max="2066" width="25.7109375" style="1056" customWidth="1"/>
    <col min="2067" max="2067" width="31.7109375" style="1056" customWidth="1"/>
    <col min="2068" max="2068" width="34.140625" style="1056" customWidth="1"/>
    <col min="2069" max="2069" width="37.7109375" style="1056" customWidth="1"/>
    <col min="2070" max="2070" width="48.7109375" style="1056" customWidth="1"/>
    <col min="2071" max="2071" width="29.42578125" style="1056" customWidth="1"/>
    <col min="2072" max="2304" width="11.5703125" style="1056"/>
    <col min="2305" max="2305" width="5.42578125" style="1056" customWidth="1"/>
    <col min="2306" max="2306" width="34.42578125" style="1056" customWidth="1"/>
    <col min="2307" max="2307" width="27.7109375" style="1056" customWidth="1"/>
    <col min="2308" max="2308" width="18.140625" style="1056" customWidth="1"/>
    <col min="2309" max="2309" width="24" style="1056" customWidth="1"/>
    <col min="2310" max="2310" width="16" style="1056" customWidth="1"/>
    <col min="2311" max="2311" width="16.140625" style="1056" customWidth="1"/>
    <col min="2312" max="2312" width="15.7109375" style="1056" customWidth="1"/>
    <col min="2313" max="2313" width="17.42578125" style="1056" customWidth="1"/>
    <col min="2314" max="2315" width="16.7109375" style="1056" customWidth="1"/>
    <col min="2316" max="2316" width="13.140625" style="1056" customWidth="1"/>
    <col min="2317" max="2317" width="14" style="1056" customWidth="1"/>
    <col min="2318" max="2318" width="17.28515625" style="1056" customWidth="1"/>
    <col min="2319" max="2319" width="16.42578125" style="1056" customWidth="1"/>
    <col min="2320" max="2321" width="15.42578125" style="1056" customWidth="1"/>
    <col min="2322" max="2322" width="25.7109375" style="1056" customWidth="1"/>
    <col min="2323" max="2323" width="31.7109375" style="1056" customWidth="1"/>
    <col min="2324" max="2324" width="34.140625" style="1056" customWidth="1"/>
    <col min="2325" max="2325" width="37.7109375" style="1056" customWidth="1"/>
    <col min="2326" max="2326" width="48.7109375" style="1056" customWidth="1"/>
    <col min="2327" max="2327" width="29.42578125" style="1056" customWidth="1"/>
    <col min="2328" max="2560" width="11.5703125" style="1056"/>
    <col min="2561" max="2561" width="5.42578125" style="1056" customWidth="1"/>
    <col min="2562" max="2562" width="34.42578125" style="1056" customWidth="1"/>
    <col min="2563" max="2563" width="27.7109375" style="1056" customWidth="1"/>
    <col min="2564" max="2564" width="18.140625" style="1056" customWidth="1"/>
    <col min="2565" max="2565" width="24" style="1056" customWidth="1"/>
    <col min="2566" max="2566" width="16" style="1056" customWidth="1"/>
    <col min="2567" max="2567" width="16.140625" style="1056" customWidth="1"/>
    <col min="2568" max="2568" width="15.7109375" style="1056" customWidth="1"/>
    <col min="2569" max="2569" width="17.42578125" style="1056" customWidth="1"/>
    <col min="2570" max="2571" width="16.7109375" style="1056" customWidth="1"/>
    <col min="2572" max="2572" width="13.140625" style="1056" customWidth="1"/>
    <col min="2573" max="2573" width="14" style="1056" customWidth="1"/>
    <col min="2574" max="2574" width="17.28515625" style="1056" customWidth="1"/>
    <col min="2575" max="2575" width="16.42578125" style="1056" customWidth="1"/>
    <col min="2576" max="2577" width="15.42578125" style="1056" customWidth="1"/>
    <col min="2578" max="2578" width="25.7109375" style="1056" customWidth="1"/>
    <col min="2579" max="2579" width="31.7109375" style="1056" customWidth="1"/>
    <col min="2580" max="2580" width="34.140625" style="1056" customWidth="1"/>
    <col min="2581" max="2581" width="37.7109375" style="1056" customWidth="1"/>
    <col min="2582" max="2582" width="48.7109375" style="1056" customWidth="1"/>
    <col min="2583" max="2583" width="29.42578125" style="1056" customWidth="1"/>
    <col min="2584" max="2816" width="11.5703125" style="1056"/>
    <col min="2817" max="2817" width="5.42578125" style="1056" customWidth="1"/>
    <col min="2818" max="2818" width="34.42578125" style="1056" customWidth="1"/>
    <col min="2819" max="2819" width="27.7109375" style="1056" customWidth="1"/>
    <col min="2820" max="2820" width="18.140625" style="1056" customWidth="1"/>
    <col min="2821" max="2821" width="24" style="1056" customWidth="1"/>
    <col min="2822" max="2822" width="16" style="1056" customWidth="1"/>
    <col min="2823" max="2823" width="16.140625" style="1056" customWidth="1"/>
    <col min="2824" max="2824" width="15.7109375" style="1056" customWidth="1"/>
    <col min="2825" max="2825" width="17.42578125" style="1056" customWidth="1"/>
    <col min="2826" max="2827" width="16.7109375" style="1056" customWidth="1"/>
    <col min="2828" max="2828" width="13.140625" style="1056" customWidth="1"/>
    <col min="2829" max="2829" width="14" style="1056" customWidth="1"/>
    <col min="2830" max="2830" width="17.28515625" style="1056" customWidth="1"/>
    <col min="2831" max="2831" width="16.42578125" style="1056" customWidth="1"/>
    <col min="2832" max="2833" width="15.42578125" style="1056" customWidth="1"/>
    <col min="2834" max="2834" width="25.7109375" style="1056" customWidth="1"/>
    <col min="2835" max="2835" width="31.7109375" style="1056" customWidth="1"/>
    <col min="2836" max="2836" width="34.140625" style="1056" customWidth="1"/>
    <col min="2837" max="2837" width="37.7109375" style="1056" customWidth="1"/>
    <col min="2838" max="2838" width="48.7109375" style="1056" customWidth="1"/>
    <col min="2839" max="2839" width="29.42578125" style="1056" customWidth="1"/>
    <col min="2840" max="3072" width="11.5703125" style="1056"/>
    <col min="3073" max="3073" width="5.42578125" style="1056" customWidth="1"/>
    <col min="3074" max="3074" width="34.42578125" style="1056" customWidth="1"/>
    <col min="3075" max="3075" width="27.7109375" style="1056" customWidth="1"/>
    <col min="3076" max="3076" width="18.140625" style="1056" customWidth="1"/>
    <col min="3077" max="3077" width="24" style="1056" customWidth="1"/>
    <col min="3078" max="3078" width="16" style="1056" customWidth="1"/>
    <col min="3079" max="3079" width="16.140625" style="1056" customWidth="1"/>
    <col min="3080" max="3080" width="15.7109375" style="1056" customWidth="1"/>
    <col min="3081" max="3081" width="17.42578125" style="1056" customWidth="1"/>
    <col min="3082" max="3083" width="16.7109375" style="1056" customWidth="1"/>
    <col min="3084" max="3084" width="13.140625" style="1056" customWidth="1"/>
    <col min="3085" max="3085" width="14" style="1056" customWidth="1"/>
    <col min="3086" max="3086" width="17.28515625" style="1056" customWidth="1"/>
    <col min="3087" max="3087" width="16.42578125" style="1056" customWidth="1"/>
    <col min="3088" max="3089" width="15.42578125" style="1056" customWidth="1"/>
    <col min="3090" max="3090" width="25.7109375" style="1056" customWidth="1"/>
    <col min="3091" max="3091" width="31.7109375" style="1056" customWidth="1"/>
    <col min="3092" max="3092" width="34.140625" style="1056" customWidth="1"/>
    <col min="3093" max="3093" width="37.7109375" style="1056" customWidth="1"/>
    <col min="3094" max="3094" width="48.7109375" style="1056" customWidth="1"/>
    <col min="3095" max="3095" width="29.42578125" style="1056" customWidth="1"/>
    <col min="3096" max="3328" width="11.5703125" style="1056"/>
    <col min="3329" max="3329" width="5.42578125" style="1056" customWidth="1"/>
    <col min="3330" max="3330" width="34.42578125" style="1056" customWidth="1"/>
    <col min="3331" max="3331" width="27.7109375" style="1056" customWidth="1"/>
    <col min="3332" max="3332" width="18.140625" style="1056" customWidth="1"/>
    <col min="3333" max="3333" width="24" style="1056" customWidth="1"/>
    <col min="3334" max="3334" width="16" style="1056" customWidth="1"/>
    <col min="3335" max="3335" width="16.140625" style="1056" customWidth="1"/>
    <col min="3336" max="3336" width="15.7109375" style="1056" customWidth="1"/>
    <col min="3337" max="3337" width="17.42578125" style="1056" customWidth="1"/>
    <col min="3338" max="3339" width="16.7109375" style="1056" customWidth="1"/>
    <col min="3340" max="3340" width="13.140625" style="1056" customWidth="1"/>
    <col min="3341" max="3341" width="14" style="1056" customWidth="1"/>
    <col min="3342" max="3342" width="17.28515625" style="1056" customWidth="1"/>
    <col min="3343" max="3343" width="16.42578125" style="1056" customWidth="1"/>
    <col min="3344" max="3345" width="15.42578125" style="1056" customWidth="1"/>
    <col min="3346" max="3346" width="25.7109375" style="1056" customWidth="1"/>
    <col min="3347" max="3347" width="31.7109375" style="1056" customWidth="1"/>
    <col min="3348" max="3348" width="34.140625" style="1056" customWidth="1"/>
    <col min="3349" max="3349" width="37.7109375" style="1056" customWidth="1"/>
    <col min="3350" max="3350" width="48.7109375" style="1056" customWidth="1"/>
    <col min="3351" max="3351" width="29.42578125" style="1056" customWidth="1"/>
    <col min="3352" max="3584" width="11.5703125" style="1056"/>
    <col min="3585" max="3585" width="5.42578125" style="1056" customWidth="1"/>
    <col min="3586" max="3586" width="34.42578125" style="1056" customWidth="1"/>
    <col min="3587" max="3587" width="27.7109375" style="1056" customWidth="1"/>
    <col min="3588" max="3588" width="18.140625" style="1056" customWidth="1"/>
    <col min="3589" max="3589" width="24" style="1056" customWidth="1"/>
    <col min="3590" max="3590" width="16" style="1056" customWidth="1"/>
    <col min="3591" max="3591" width="16.140625" style="1056" customWidth="1"/>
    <col min="3592" max="3592" width="15.7109375" style="1056" customWidth="1"/>
    <col min="3593" max="3593" width="17.42578125" style="1056" customWidth="1"/>
    <col min="3594" max="3595" width="16.7109375" style="1056" customWidth="1"/>
    <col min="3596" max="3596" width="13.140625" style="1056" customWidth="1"/>
    <col min="3597" max="3597" width="14" style="1056" customWidth="1"/>
    <col min="3598" max="3598" width="17.28515625" style="1056" customWidth="1"/>
    <col min="3599" max="3599" width="16.42578125" style="1056" customWidth="1"/>
    <col min="3600" max="3601" width="15.42578125" style="1056" customWidth="1"/>
    <col min="3602" max="3602" width="25.7109375" style="1056" customWidth="1"/>
    <col min="3603" max="3603" width="31.7109375" style="1056" customWidth="1"/>
    <col min="3604" max="3604" width="34.140625" style="1056" customWidth="1"/>
    <col min="3605" max="3605" width="37.7109375" style="1056" customWidth="1"/>
    <col min="3606" max="3606" width="48.7109375" style="1056" customWidth="1"/>
    <col min="3607" max="3607" width="29.42578125" style="1056" customWidth="1"/>
    <col min="3608" max="3840" width="11.5703125" style="1056"/>
    <col min="3841" max="3841" width="5.42578125" style="1056" customWidth="1"/>
    <col min="3842" max="3842" width="34.42578125" style="1056" customWidth="1"/>
    <col min="3843" max="3843" width="27.7109375" style="1056" customWidth="1"/>
    <col min="3844" max="3844" width="18.140625" style="1056" customWidth="1"/>
    <col min="3845" max="3845" width="24" style="1056" customWidth="1"/>
    <col min="3846" max="3846" width="16" style="1056" customWidth="1"/>
    <col min="3847" max="3847" width="16.140625" style="1056" customWidth="1"/>
    <col min="3848" max="3848" width="15.7109375" style="1056" customWidth="1"/>
    <col min="3849" max="3849" width="17.42578125" style="1056" customWidth="1"/>
    <col min="3850" max="3851" width="16.7109375" style="1056" customWidth="1"/>
    <col min="3852" max="3852" width="13.140625" style="1056" customWidth="1"/>
    <col min="3853" max="3853" width="14" style="1056" customWidth="1"/>
    <col min="3854" max="3854" width="17.28515625" style="1056" customWidth="1"/>
    <col min="3855" max="3855" width="16.42578125" style="1056" customWidth="1"/>
    <col min="3856" max="3857" width="15.42578125" style="1056" customWidth="1"/>
    <col min="3858" max="3858" width="25.7109375" style="1056" customWidth="1"/>
    <col min="3859" max="3859" width="31.7109375" style="1056" customWidth="1"/>
    <col min="3860" max="3860" width="34.140625" style="1056" customWidth="1"/>
    <col min="3861" max="3861" width="37.7109375" style="1056" customWidth="1"/>
    <col min="3862" max="3862" width="48.7109375" style="1056" customWidth="1"/>
    <col min="3863" max="3863" width="29.42578125" style="1056" customWidth="1"/>
    <col min="3864" max="4096" width="11.5703125" style="1056"/>
    <col min="4097" max="4097" width="5.42578125" style="1056" customWidth="1"/>
    <col min="4098" max="4098" width="34.42578125" style="1056" customWidth="1"/>
    <col min="4099" max="4099" width="27.7109375" style="1056" customWidth="1"/>
    <col min="4100" max="4100" width="18.140625" style="1056" customWidth="1"/>
    <col min="4101" max="4101" width="24" style="1056" customWidth="1"/>
    <col min="4102" max="4102" width="16" style="1056" customWidth="1"/>
    <col min="4103" max="4103" width="16.140625" style="1056" customWidth="1"/>
    <col min="4104" max="4104" width="15.7109375" style="1056" customWidth="1"/>
    <col min="4105" max="4105" width="17.42578125" style="1056" customWidth="1"/>
    <col min="4106" max="4107" width="16.7109375" style="1056" customWidth="1"/>
    <col min="4108" max="4108" width="13.140625" style="1056" customWidth="1"/>
    <col min="4109" max="4109" width="14" style="1056" customWidth="1"/>
    <col min="4110" max="4110" width="17.28515625" style="1056" customWidth="1"/>
    <col min="4111" max="4111" width="16.42578125" style="1056" customWidth="1"/>
    <col min="4112" max="4113" width="15.42578125" style="1056" customWidth="1"/>
    <col min="4114" max="4114" width="25.7109375" style="1056" customWidth="1"/>
    <col min="4115" max="4115" width="31.7109375" style="1056" customWidth="1"/>
    <col min="4116" max="4116" width="34.140625" style="1056" customWidth="1"/>
    <col min="4117" max="4117" width="37.7109375" style="1056" customWidth="1"/>
    <col min="4118" max="4118" width="48.7109375" style="1056" customWidth="1"/>
    <col min="4119" max="4119" width="29.42578125" style="1056" customWidth="1"/>
    <col min="4120" max="4352" width="11.5703125" style="1056"/>
    <col min="4353" max="4353" width="5.42578125" style="1056" customWidth="1"/>
    <col min="4354" max="4354" width="34.42578125" style="1056" customWidth="1"/>
    <col min="4355" max="4355" width="27.7109375" style="1056" customWidth="1"/>
    <col min="4356" max="4356" width="18.140625" style="1056" customWidth="1"/>
    <col min="4357" max="4357" width="24" style="1056" customWidth="1"/>
    <col min="4358" max="4358" width="16" style="1056" customWidth="1"/>
    <col min="4359" max="4359" width="16.140625" style="1056" customWidth="1"/>
    <col min="4360" max="4360" width="15.7109375" style="1056" customWidth="1"/>
    <col min="4361" max="4361" width="17.42578125" style="1056" customWidth="1"/>
    <col min="4362" max="4363" width="16.7109375" style="1056" customWidth="1"/>
    <col min="4364" max="4364" width="13.140625" style="1056" customWidth="1"/>
    <col min="4365" max="4365" width="14" style="1056" customWidth="1"/>
    <col min="4366" max="4366" width="17.28515625" style="1056" customWidth="1"/>
    <col min="4367" max="4367" width="16.42578125" style="1056" customWidth="1"/>
    <col min="4368" max="4369" width="15.42578125" style="1056" customWidth="1"/>
    <col min="4370" max="4370" width="25.7109375" style="1056" customWidth="1"/>
    <col min="4371" max="4371" width="31.7109375" style="1056" customWidth="1"/>
    <col min="4372" max="4372" width="34.140625" style="1056" customWidth="1"/>
    <col min="4373" max="4373" width="37.7109375" style="1056" customWidth="1"/>
    <col min="4374" max="4374" width="48.7109375" style="1056" customWidth="1"/>
    <col min="4375" max="4375" width="29.42578125" style="1056" customWidth="1"/>
    <col min="4376" max="4608" width="11.5703125" style="1056"/>
    <col min="4609" max="4609" width="5.42578125" style="1056" customWidth="1"/>
    <col min="4610" max="4610" width="34.42578125" style="1056" customWidth="1"/>
    <col min="4611" max="4611" width="27.7109375" style="1056" customWidth="1"/>
    <col min="4612" max="4612" width="18.140625" style="1056" customWidth="1"/>
    <col min="4613" max="4613" width="24" style="1056" customWidth="1"/>
    <col min="4614" max="4614" width="16" style="1056" customWidth="1"/>
    <col min="4615" max="4615" width="16.140625" style="1056" customWidth="1"/>
    <col min="4616" max="4616" width="15.7109375" style="1056" customWidth="1"/>
    <col min="4617" max="4617" width="17.42578125" style="1056" customWidth="1"/>
    <col min="4618" max="4619" width="16.7109375" style="1056" customWidth="1"/>
    <col min="4620" max="4620" width="13.140625" style="1056" customWidth="1"/>
    <col min="4621" max="4621" width="14" style="1056" customWidth="1"/>
    <col min="4622" max="4622" width="17.28515625" style="1056" customWidth="1"/>
    <col min="4623" max="4623" width="16.42578125" style="1056" customWidth="1"/>
    <col min="4624" max="4625" width="15.42578125" style="1056" customWidth="1"/>
    <col min="4626" max="4626" width="25.7109375" style="1056" customWidth="1"/>
    <col min="4627" max="4627" width="31.7109375" style="1056" customWidth="1"/>
    <col min="4628" max="4628" width="34.140625" style="1056" customWidth="1"/>
    <col min="4629" max="4629" width="37.7109375" style="1056" customWidth="1"/>
    <col min="4630" max="4630" width="48.7109375" style="1056" customWidth="1"/>
    <col min="4631" max="4631" width="29.42578125" style="1056" customWidth="1"/>
    <col min="4632" max="4864" width="11.5703125" style="1056"/>
    <col min="4865" max="4865" width="5.42578125" style="1056" customWidth="1"/>
    <col min="4866" max="4866" width="34.42578125" style="1056" customWidth="1"/>
    <col min="4867" max="4867" width="27.7109375" style="1056" customWidth="1"/>
    <col min="4868" max="4868" width="18.140625" style="1056" customWidth="1"/>
    <col min="4869" max="4869" width="24" style="1056" customWidth="1"/>
    <col min="4870" max="4870" width="16" style="1056" customWidth="1"/>
    <col min="4871" max="4871" width="16.140625" style="1056" customWidth="1"/>
    <col min="4872" max="4872" width="15.7109375" style="1056" customWidth="1"/>
    <col min="4873" max="4873" width="17.42578125" style="1056" customWidth="1"/>
    <col min="4874" max="4875" width="16.7109375" style="1056" customWidth="1"/>
    <col min="4876" max="4876" width="13.140625" style="1056" customWidth="1"/>
    <col min="4877" max="4877" width="14" style="1056" customWidth="1"/>
    <col min="4878" max="4878" width="17.28515625" style="1056" customWidth="1"/>
    <col min="4879" max="4879" width="16.42578125" style="1056" customWidth="1"/>
    <col min="4880" max="4881" width="15.42578125" style="1056" customWidth="1"/>
    <col min="4882" max="4882" width="25.7109375" style="1056" customWidth="1"/>
    <col min="4883" max="4883" width="31.7109375" style="1056" customWidth="1"/>
    <col min="4884" max="4884" width="34.140625" style="1056" customWidth="1"/>
    <col min="4885" max="4885" width="37.7109375" style="1056" customWidth="1"/>
    <col min="4886" max="4886" width="48.7109375" style="1056" customWidth="1"/>
    <col min="4887" max="4887" width="29.42578125" style="1056" customWidth="1"/>
    <col min="4888" max="5120" width="11.5703125" style="1056"/>
    <col min="5121" max="5121" width="5.42578125" style="1056" customWidth="1"/>
    <col min="5122" max="5122" width="34.42578125" style="1056" customWidth="1"/>
    <col min="5123" max="5123" width="27.7109375" style="1056" customWidth="1"/>
    <col min="5124" max="5124" width="18.140625" style="1056" customWidth="1"/>
    <col min="5125" max="5125" width="24" style="1056" customWidth="1"/>
    <col min="5126" max="5126" width="16" style="1056" customWidth="1"/>
    <col min="5127" max="5127" width="16.140625" style="1056" customWidth="1"/>
    <col min="5128" max="5128" width="15.7109375" style="1056" customWidth="1"/>
    <col min="5129" max="5129" width="17.42578125" style="1056" customWidth="1"/>
    <col min="5130" max="5131" width="16.7109375" style="1056" customWidth="1"/>
    <col min="5132" max="5132" width="13.140625" style="1056" customWidth="1"/>
    <col min="5133" max="5133" width="14" style="1056" customWidth="1"/>
    <col min="5134" max="5134" width="17.28515625" style="1056" customWidth="1"/>
    <col min="5135" max="5135" width="16.42578125" style="1056" customWidth="1"/>
    <col min="5136" max="5137" width="15.42578125" style="1056" customWidth="1"/>
    <col min="5138" max="5138" width="25.7109375" style="1056" customWidth="1"/>
    <col min="5139" max="5139" width="31.7109375" style="1056" customWidth="1"/>
    <col min="5140" max="5140" width="34.140625" style="1056" customWidth="1"/>
    <col min="5141" max="5141" width="37.7109375" style="1056" customWidth="1"/>
    <col min="5142" max="5142" width="48.7109375" style="1056" customWidth="1"/>
    <col min="5143" max="5143" width="29.42578125" style="1056" customWidth="1"/>
    <col min="5144" max="5376" width="11.5703125" style="1056"/>
    <col min="5377" max="5377" width="5.42578125" style="1056" customWidth="1"/>
    <col min="5378" max="5378" width="34.42578125" style="1056" customWidth="1"/>
    <col min="5379" max="5379" width="27.7109375" style="1056" customWidth="1"/>
    <col min="5380" max="5380" width="18.140625" style="1056" customWidth="1"/>
    <col min="5381" max="5381" width="24" style="1056" customWidth="1"/>
    <col min="5382" max="5382" width="16" style="1056" customWidth="1"/>
    <col min="5383" max="5383" width="16.140625" style="1056" customWidth="1"/>
    <col min="5384" max="5384" width="15.7109375" style="1056" customWidth="1"/>
    <col min="5385" max="5385" width="17.42578125" style="1056" customWidth="1"/>
    <col min="5386" max="5387" width="16.7109375" style="1056" customWidth="1"/>
    <col min="5388" max="5388" width="13.140625" style="1056" customWidth="1"/>
    <col min="5389" max="5389" width="14" style="1056" customWidth="1"/>
    <col min="5390" max="5390" width="17.28515625" style="1056" customWidth="1"/>
    <col min="5391" max="5391" width="16.42578125" style="1056" customWidth="1"/>
    <col min="5392" max="5393" width="15.42578125" style="1056" customWidth="1"/>
    <col min="5394" max="5394" width="25.7109375" style="1056" customWidth="1"/>
    <col min="5395" max="5395" width="31.7109375" style="1056" customWidth="1"/>
    <col min="5396" max="5396" width="34.140625" style="1056" customWidth="1"/>
    <col min="5397" max="5397" width="37.7109375" style="1056" customWidth="1"/>
    <col min="5398" max="5398" width="48.7109375" style="1056" customWidth="1"/>
    <col min="5399" max="5399" width="29.42578125" style="1056" customWidth="1"/>
    <col min="5400" max="5632" width="11.5703125" style="1056"/>
    <col min="5633" max="5633" width="5.42578125" style="1056" customWidth="1"/>
    <col min="5634" max="5634" width="34.42578125" style="1056" customWidth="1"/>
    <col min="5635" max="5635" width="27.7109375" style="1056" customWidth="1"/>
    <col min="5636" max="5636" width="18.140625" style="1056" customWidth="1"/>
    <col min="5637" max="5637" width="24" style="1056" customWidth="1"/>
    <col min="5638" max="5638" width="16" style="1056" customWidth="1"/>
    <col min="5639" max="5639" width="16.140625" style="1056" customWidth="1"/>
    <col min="5640" max="5640" width="15.7109375" style="1056" customWidth="1"/>
    <col min="5641" max="5641" width="17.42578125" style="1056" customWidth="1"/>
    <col min="5642" max="5643" width="16.7109375" style="1056" customWidth="1"/>
    <col min="5644" max="5644" width="13.140625" style="1056" customWidth="1"/>
    <col min="5645" max="5645" width="14" style="1056" customWidth="1"/>
    <col min="5646" max="5646" width="17.28515625" style="1056" customWidth="1"/>
    <col min="5647" max="5647" width="16.42578125" style="1056" customWidth="1"/>
    <col min="5648" max="5649" width="15.42578125" style="1056" customWidth="1"/>
    <col min="5650" max="5650" width="25.7109375" style="1056" customWidth="1"/>
    <col min="5651" max="5651" width="31.7109375" style="1056" customWidth="1"/>
    <col min="5652" max="5652" width="34.140625" style="1056" customWidth="1"/>
    <col min="5653" max="5653" width="37.7109375" style="1056" customWidth="1"/>
    <col min="5654" max="5654" width="48.7109375" style="1056" customWidth="1"/>
    <col min="5655" max="5655" width="29.42578125" style="1056" customWidth="1"/>
    <col min="5656" max="5888" width="11.5703125" style="1056"/>
    <col min="5889" max="5889" width="5.42578125" style="1056" customWidth="1"/>
    <col min="5890" max="5890" width="34.42578125" style="1056" customWidth="1"/>
    <col min="5891" max="5891" width="27.7109375" style="1056" customWidth="1"/>
    <col min="5892" max="5892" width="18.140625" style="1056" customWidth="1"/>
    <col min="5893" max="5893" width="24" style="1056" customWidth="1"/>
    <col min="5894" max="5894" width="16" style="1056" customWidth="1"/>
    <col min="5895" max="5895" width="16.140625" style="1056" customWidth="1"/>
    <col min="5896" max="5896" width="15.7109375" style="1056" customWidth="1"/>
    <col min="5897" max="5897" width="17.42578125" style="1056" customWidth="1"/>
    <col min="5898" max="5899" width="16.7109375" style="1056" customWidth="1"/>
    <col min="5900" max="5900" width="13.140625" style="1056" customWidth="1"/>
    <col min="5901" max="5901" width="14" style="1056" customWidth="1"/>
    <col min="5902" max="5902" width="17.28515625" style="1056" customWidth="1"/>
    <col min="5903" max="5903" width="16.42578125" style="1056" customWidth="1"/>
    <col min="5904" max="5905" width="15.42578125" style="1056" customWidth="1"/>
    <col min="5906" max="5906" width="25.7109375" style="1056" customWidth="1"/>
    <col min="5907" max="5907" width="31.7109375" style="1056" customWidth="1"/>
    <col min="5908" max="5908" width="34.140625" style="1056" customWidth="1"/>
    <col min="5909" max="5909" width="37.7109375" style="1056" customWidth="1"/>
    <col min="5910" max="5910" width="48.7109375" style="1056" customWidth="1"/>
    <col min="5911" max="5911" width="29.42578125" style="1056" customWidth="1"/>
    <col min="5912" max="6144" width="11.5703125" style="1056"/>
    <col min="6145" max="6145" width="5.42578125" style="1056" customWidth="1"/>
    <col min="6146" max="6146" width="34.42578125" style="1056" customWidth="1"/>
    <col min="6147" max="6147" width="27.7109375" style="1056" customWidth="1"/>
    <col min="6148" max="6148" width="18.140625" style="1056" customWidth="1"/>
    <col min="6149" max="6149" width="24" style="1056" customWidth="1"/>
    <col min="6150" max="6150" width="16" style="1056" customWidth="1"/>
    <col min="6151" max="6151" width="16.140625" style="1056" customWidth="1"/>
    <col min="6152" max="6152" width="15.7109375" style="1056" customWidth="1"/>
    <col min="6153" max="6153" width="17.42578125" style="1056" customWidth="1"/>
    <col min="6154" max="6155" width="16.7109375" style="1056" customWidth="1"/>
    <col min="6156" max="6156" width="13.140625" style="1056" customWidth="1"/>
    <col min="6157" max="6157" width="14" style="1056" customWidth="1"/>
    <col min="6158" max="6158" width="17.28515625" style="1056" customWidth="1"/>
    <col min="6159" max="6159" width="16.42578125" style="1056" customWidth="1"/>
    <col min="6160" max="6161" width="15.42578125" style="1056" customWidth="1"/>
    <col min="6162" max="6162" width="25.7109375" style="1056" customWidth="1"/>
    <col min="6163" max="6163" width="31.7109375" style="1056" customWidth="1"/>
    <col min="6164" max="6164" width="34.140625" style="1056" customWidth="1"/>
    <col min="6165" max="6165" width="37.7109375" style="1056" customWidth="1"/>
    <col min="6166" max="6166" width="48.7109375" style="1056" customWidth="1"/>
    <col min="6167" max="6167" width="29.42578125" style="1056" customWidth="1"/>
    <col min="6168" max="6400" width="11.5703125" style="1056"/>
    <col min="6401" max="6401" width="5.42578125" style="1056" customWidth="1"/>
    <col min="6402" max="6402" width="34.42578125" style="1056" customWidth="1"/>
    <col min="6403" max="6403" width="27.7109375" style="1056" customWidth="1"/>
    <col min="6404" max="6404" width="18.140625" style="1056" customWidth="1"/>
    <col min="6405" max="6405" width="24" style="1056" customWidth="1"/>
    <col min="6406" max="6406" width="16" style="1056" customWidth="1"/>
    <col min="6407" max="6407" width="16.140625" style="1056" customWidth="1"/>
    <col min="6408" max="6408" width="15.7109375" style="1056" customWidth="1"/>
    <col min="6409" max="6409" width="17.42578125" style="1056" customWidth="1"/>
    <col min="6410" max="6411" width="16.7109375" style="1056" customWidth="1"/>
    <col min="6412" max="6412" width="13.140625" style="1056" customWidth="1"/>
    <col min="6413" max="6413" width="14" style="1056" customWidth="1"/>
    <col min="6414" max="6414" width="17.28515625" style="1056" customWidth="1"/>
    <col min="6415" max="6415" width="16.42578125" style="1056" customWidth="1"/>
    <col min="6416" max="6417" width="15.42578125" style="1056" customWidth="1"/>
    <col min="6418" max="6418" width="25.7109375" style="1056" customWidth="1"/>
    <col min="6419" max="6419" width="31.7109375" style="1056" customWidth="1"/>
    <col min="6420" max="6420" width="34.140625" style="1056" customWidth="1"/>
    <col min="6421" max="6421" width="37.7109375" style="1056" customWidth="1"/>
    <col min="6422" max="6422" width="48.7109375" style="1056" customWidth="1"/>
    <col min="6423" max="6423" width="29.42578125" style="1056" customWidth="1"/>
    <col min="6424" max="6656" width="11.5703125" style="1056"/>
    <col min="6657" max="6657" width="5.42578125" style="1056" customWidth="1"/>
    <col min="6658" max="6658" width="34.42578125" style="1056" customWidth="1"/>
    <col min="6659" max="6659" width="27.7109375" style="1056" customWidth="1"/>
    <col min="6660" max="6660" width="18.140625" style="1056" customWidth="1"/>
    <col min="6661" max="6661" width="24" style="1056" customWidth="1"/>
    <col min="6662" max="6662" width="16" style="1056" customWidth="1"/>
    <col min="6663" max="6663" width="16.140625" style="1056" customWidth="1"/>
    <col min="6664" max="6664" width="15.7109375" style="1056" customWidth="1"/>
    <col min="6665" max="6665" width="17.42578125" style="1056" customWidth="1"/>
    <col min="6666" max="6667" width="16.7109375" style="1056" customWidth="1"/>
    <col min="6668" max="6668" width="13.140625" style="1056" customWidth="1"/>
    <col min="6669" max="6669" width="14" style="1056" customWidth="1"/>
    <col min="6670" max="6670" width="17.28515625" style="1056" customWidth="1"/>
    <col min="6671" max="6671" width="16.42578125" style="1056" customWidth="1"/>
    <col min="6672" max="6673" width="15.42578125" style="1056" customWidth="1"/>
    <col min="6674" max="6674" width="25.7109375" style="1056" customWidth="1"/>
    <col min="6675" max="6675" width="31.7109375" style="1056" customWidth="1"/>
    <col min="6676" max="6676" width="34.140625" style="1056" customWidth="1"/>
    <col min="6677" max="6677" width="37.7109375" style="1056" customWidth="1"/>
    <col min="6678" max="6678" width="48.7109375" style="1056" customWidth="1"/>
    <col min="6679" max="6679" width="29.42578125" style="1056" customWidth="1"/>
    <col min="6680" max="6912" width="11.5703125" style="1056"/>
    <col min="6913" max="6913" width="5.42578125" style="1056" customWidth="1"/>
    <col min="6914" max="6914" width="34.42578125" style="1056" customWidth="1"/>
    <col min="6915" max="6915" width="27.7109375" style="1056" customWidth="1"/>
    <col min="6916" max="6916" width="18.140625" style="1056" customWidth="1"/>
    <col min="6917" max="6917" width="24" style="1056" customWidth="1"/>
    <col min="6918" max="6918" width="16" style="1056" customWidth="1"/>
    <col min="6919" max="6919" width="16.140625" style="1056" customWidth="1"/>
    <col min="6920" max="6920" width="15.7109375" style="1056" customWidth="1"/>
    <col min="6921" max="6921" width="17.42578125" style="1056" customWidth="1"/>
    <col min="6922" max="6923" width="16.7109375" style="1056" customWidth="1"/>
    <col min="6924" max="6924" width="13.140625" style="1056" customWidth="1"/>
    <col min="6925" max="6925" width="14" style="1056" customWidth="1"/>
    <col min="6926" max="6926" width="17.28515625" style="1056" customWidth="1"/>
    <col min="6927" max="6927" width="16.42578125" style="1056" customWidth="1"/>
    <col min="6928" max="6929" width="15.42578125" style="1056" customWidth="1"/>
    <col min="6930" max="6930" width="25.7109375" style="1056" customWidth="1"/>
    <col min="6931" max="6931" width="31.7109375" style="1056" customWidth="1"/>
    <col min="6932" max="6932" width="34.140625" style="1056" customWidth="1"/>
    <col min="6933" max="6933" width="37.7109375" style="1056" customWidth="1"/>
    <col min="6934" max="6934" width="48.7109375" style="1056" customWidth="1"/>
    <col min="6935" max="6935" width="29.42578125" style="1056" customWidth="1"/>
    <col min="6936" max="7168" width="11.5703125" style="1056"/>
    <col min="7169" max="7169" width="5.42578125" style="1056" customWidth="1"/>
    <col min="7170" max="7170" width="34.42578125" style="1056" customWidth="1"/>
    <col min="7171" max="7171" width="27.7109375" style="1056" customWidth="1"/>
    <col min="7172" max="7172" width="18.140625" style="1056" customWidth="1"/>
    <col min="7173" max="7173" width="24" style="1056" customWidth="1"/>
    <col min="7174" max="7174" width="16" style="1056" customWidth="1"/>
    <col min="7175" max="7175" width="16.140625" style="1056" customWidth="1"/>
    <col min="7176" max="7176" width="15.7109375" style="1056" customWidth="1"/>
    <col min="7177" max="7177" width="17.42578125" style="1056" customWidth="1"/>
    <col min="7178" max="7179" width="16.7109375" style="1056" customWidth="1"/>
    <col min="7180" max="7180" width="13.140625" style="1056" customWidth="1"/>
    <col min="7181" max="7181" width="14" style="1056" customWidth="1"/>
    <col min="7182" max="7182" width="17.28515625" style="1056" customWidth="1"/>
    <col min="7183" max="7183" width="16.42578125" style="1056" customWidth="1"/>
    <col min="7184" max="7185" width="15.42578125" style="1056" customWidth="1"/>
    <col min="7186" max="7186" width="25.7109375" style="1056" customWidth="1"/>
    <col min="7187" max="7187" width="31.7109375" style="1056" customWidth="1"/>
    <col min="7188" max="7188" width="34.140625" style="1056" customWidth="1"/>
    <col min="7189" max="7189" width="37.7109375" style="1056" customWidth="1"/>
    <col min="7190" max="7190" width="48.7109375" style="1056" customWidth="1"/>
    <col min="7191" max="7191" width="29.42578125" style="1056" customWidth="1"/>
    <col min="7192" max="7424" width="11.5703125" style="1056"/>
    <col min="7425" max="7425" width="5.42578125" style="1056" customWidth="1"/>
    <col min="7426" max="7426" width="34.42578125" style="1056" customWidth="1"/>
    <col min="7427" max="7427" width="27.7109375" style="1056" customWidth="1"/>
    <col min="7428" max="7428" width="18.140625" style="1056" customWidth="1"/>
    <col min="7429" max="7429" width="24" style="1056" customWidth="1"/>
    <col min="7430" max="7430" width="16" style="1056" customWidth="1"/>
    <col min="7431" max="7431" width="16.140625" style="1056" customWidth="1"/>
    <col min="7432" max="7432" width="15.7109375" style="1056" customWidth="1"/>
    <col min="7433" max="7433" width="17.42578125" style="1056" customWidth="1"/>
    <col min="7434" max="7435" width="16.7109375" style="1056" customWidth="1"/>
    <col min="7436" max="7436" width="13.140625" style="1056" customWidth="1"/>
    <col min="7437" max="7437" width="14" style="1056" customWidth="1"/>
    <col min="7438" max="7438" width="17.28515625" style="1056" customWidth="1"/>
    <col min="7439" max="7439" width="16.42578125" style="1056" customWidth="1"/>
    <col min="7440" max="7441" width="15.42578125" style="1056" customWidth="1"/>
    <col min="7442" max="7442" width="25.7109375" style="1056" customWidth="1"/>
    <col min="7443" max="7443" width="31.7109375" style="1056" customWidth="1"/>
    <col min="7444" max="7444" width="34.140625" style="1056" customWidth="1"/>
    <col min="7445" max="7445" width="37.7109375" style="1056" customWidth="1"/>
    <col min="7446" max="7446" width="48.7109375" style="1056" customWidth="1"/>
    <col min="7447" max="7447" width="29.42578125" style="1056" customWidth="1"/>
    <col min="7448" max="7680" width="11.5703125" style="1056"/>
    <col min="7681" max="7681" width="5.42578125" style="1056" customWidth="1"/>
    <col min="7682" max="7682" width="34.42578125" style="1056" customWidth="1"/>
    <col min="7683" max="7683" width="27.7109375" style="1056" customWidth="1"/>
    <col min="7684" max="7684" width="18.140625" style="1056" customWidth="1"/>
    <col min="7685" max="7685" width="24" style="1056" customWidth="1"/>
    <col min="7686" max="7686" width="16" style="1056" customWidth="1"/>
    <col min="7687" max="7687" width="16.140625" style="1056" customWidth="1"/>
    <col min="7688" max="7688" width="15.7109375" style="1056" customWidth="1"/>
    <col min="7689" max="7689" width="17.42578125" style="1056" customWidth="1"/>
    <col min="7690" max="7691" width="16.7109375" style="1056" customWidth="1"/>
    <col min="7692" max="7692" width="13.140625" style="1056" customWidth="1"/>
    <col min="7693" max="7693" width="14" style="1056" customWidth="1"/>
    <col min="7694" max="7694" width="17.28515625" style="1056" customWidth="1"/>
    <col min="7695" max="7695" width="16.42578125" style="1056" customWidth="1"/>
    <col min="7696" max="7697" width="15.42578125" style="1056" customWidth="1"/>
    <col min="7698" max="7698" width="25.7109375" style="1056" customWidth="1"/>
    <col min="7699" max="7699" width="31.7109375" style="1056" customWidth="1"/>
    <col min="7700" max="7700" width="34.140625" style="1056" customWidth="1"/>
    <col min="7701" max="7701" width="37.7109375" style="1056" customWidth="1"/>
    <col min="7702" max="7702" width="48.7109375" style="1056" customWidth="1"/>
    <col min="7703" max="7703" width="29.42578125" style="1056" customWidth="1"/>
    <col min="7704" max="7936" width="11.5703125" style="1056"/>
    <col min="7937" max="7937" width="5.42578125" style="1056" customWidth="1"/>
    <col min="7938" max="7938" width="34.42578125" style="1056" customWidth="1"/>
    <col min="7939" max="7939" width="27.7109375" style="1056" customWidth="1"/>
    <col min="7940" max="7940" width="18.140625" style="1056" customWidth="1"/>
    <col min="7941" max="7941" width="24" style="1056" customWidth="1"/>
    <col min="7942" max="7942" width="16" style="1056" customWidth="1"/>
    <col min="7943" max="7943" width="16.140625" style="1056" customWidth="1"/>
    <col min="7944" max="7944" width="15.7109375" style="1056" customWidth="1"/>
    <col min="7945" max="7945" width="17.42578125" style="1056" customWidth="1"/>
    <col min="7946" max="7947" width="16.7109375" style="1056" customWidth="1"/>
    <col min="7948" max="7948" width="13.140625" style="1056" customWidth="1"/>
    <col min="7949" max="7949" width="14" style="1056" customWidth="1"/>
    <col min="7950" max="7950" width="17.28515625" style="1056" customWidth="1"/>
    <col min="7951" max="7951" width="16.42578125" style="1056" customWidth="1"/>
    <col min="7952" max="7953" width="15.42578125" style="1056" customWidth="1"/>
    <col min="7954" max="7954" width="25.7109375" style="1056" customWidth="1"/>
    <col min="7955" max="7955" width="31.7109375" style="1056" customWidth="1"/>
    <col min="7956" max="7956" width="34.140625" style="1056" customWidth="1"/>
    <col min="7957" max="7957" width="37.7109375" style="1056" customWidth="1"/>
    <col min="7958" max="7958" width="48.7109375" style="1056" customWidth="1"/>
    <col min="7959" max="7959" width="29.42578125" style="1056" customWidth="1"/>
    <col min="7960" max="8192" width="11.5703125" style="1056"/>
    <col min="8193" max="8193" width="5.42578125" style="1056" customWidth="1"/>
    <col min="8194" max="8194" width="34.42578125" style="1056" customWidth="1"/>
    <col min="8195" max="8195" width="27.7109375" style="1056" customWidth="1"/>
    <col min="8196" max="8196" width="18.140625" style="1056" customWidth="1"/>
    <col min="8197" max="8197" width="24" style="1056" customWidth="1"/>
    <col min="8198" max="8198" width="16" style="1056" customWidth="1"/>
    <col min="8199" max="8199" width="16.140625" style="1056" customWidth="1"/>
    <col min="8200" max="8200" width="15.7109375" style="1056" customWidth="1"/>
    <col min="8201" max="8201" width="17.42578125" style="1056" customWidth="1"/>
    <col min="8202" max="8203" width="16.7109375" style="1056" customWidth="1"/>
    <col min="8204" max="8204" width="13.140625" style="1056" customWidth="1"/>
    <col min="8205" max="8205" width="14" style="1056" customWidth="1"/>
    <col min="8206" max="8206" width="17.28515625" style="1056" customWidth="1"/>
    <col min="8207" max="8207" width="16.42578125" style="1056" customWidth="1"/>
    <col min="8208" max="8209" width="15.42578125" style="1056" customWidth="1"/>
    <col min="8210" max="8210" width="25.7109375" style="1056" customWidth="1"/>
    <col min="8211" max="8211" width="31.7109375" style="1056" customWidth="1"/>
    <col min="8212" max="8212" width="34.140625" style="1056" customWidth="1"/>
    <col min="8213" max="8213" width="37.7109375" style="1056" customWidth="1"/>
    <col min="8214" max="8214" width="48.7109375" style="1056" customWidth="1"/>
    <col min="8215" max="8215" width="29.42578125" style="1056" customWidth="1"/>
    <col min="8216" max="8448" width="11.5703125" style="1056"/>
    <col min="8449" max="8449" width="5.42578125" style="1056" customWidth="1"/>
    <col min="8450" max="8450" width="34.42578125" style="1056" customWidth="1"/>
    <col min="8451" max="8451" width="27.7109375" style="1056" customWidth="1"/>
    <col min="8452" max="8452" width="18.140625" style="1056" customWidth="1"/>
    <col min="8453" max="8453" width="24" style="1056" customWidth="1"/>
    <col min="8454" max="8454" width="16" style="1056" customWidth="1"/>
    <col min="8455" max="8455" width="16.140625" style="1056" customWidth="1"/>
    <col min="8456" max="8456" width="15.7109375" style="1056" customWidth="1"/>
    <col min="8457" max="8457" width="17.42578125" style="1056" customWidth="1"/>
    <col min="8458" max="8459" width="16.7109375" style="1056" customWidth="1"/>
    <col min="8460" max="8460" width="13.140625" style="1056" customWidth="1"/>
    <col min="8461" max="8461" width="14" style="1056" customWidth="1"/>
    <col min="8462" max="8462" width="17.28515625" style="1056" customWidth="1"/>
    <col min="8463" max="8463" width="16.42578125" style="1056" customWidth="1"/>
    <col min="8464" max="8465" width="15.42578125" style="1056" customWidth="1"/>
    <col min="8466" max="8466" width="25.7109375" style="1056" customWidth="1"/>
    <col min="8467" max="8467" width="31.7109375" style="1056" customWidth="1"/>
    <col min="8468" max="8468" width="34.140625" style="1056" customWidth="1"/>
    <col min="8469" max="8469" width="37.7109375" style="1056" customWidth="1"/>
    <col min="8470" max="8470" width="48.7109375" style="1056" customWidth="1"/>
    <col min="8471" max="8471" width="29.42578125" style="1056" customWidth="1"/>
    <col min="8472" max="8704" width="11.5703125" style="1056"/>
    <col min="8705" max="8705" width="5.42578125" style="1056" customWidth="1"/>
    <col min="8706" max="8706" width="34.42578125" style="1056" customWidth="1"/>
    <col min="8707" max="8707" width="27.7109375" style="1056" customWidth="1"/>
    <col min="8708" max="8708" width="18.140625" style="1056" customWidth="1"/>
    <col min="8709" max="8709" width="24" style="1056" customWidth="1"/>
    <col min="8710" max="8710" width="16" style="1056" customWidth="1"/>
    <col min="8711" max="8711" width="16.140625" style="1056" customWidth="1"/>
    <col min="8712" max="8712" width="15.7109375" style="1056" customWidth="1"/>
    <col min="8713" max="8713" width="17.42578125" style="1056" customWidth="1"/>
    <col min="8714" max="8715" width="16.7109375" style="1056" customWidth="1"/>
    <col min="8716" max="8716" width="13.140625" style="1056" customWidth="1"/>
    <col min="8717" max="8717" width="14" style="1056" customWidth="1"/>
    <col min="8718" max="8718" width="17.28515625" style="1056" customWidth="1"/>
    <col min="8719" max="8719" width="16.42578125" style="1056" customWidth="1"/>
    <col min="8720" max="8721" width="15.42578125" style="1056" customWidth="1"/>
    <col min="8722" max="8722" width="25.7109375" style="1056" customWidth="1"/>
    <col min="8723" max="8723" width="31.7109375" style="1056" customWidth="1"/>
    <col min="8724" max="8724" width="34.140625" style="1056" customWidth="1"/>
    <col min="8725" max="8725" width="37.7109375" style="1056" customWidth="1"/>
    <col min="8726" max="8726" width="48.7109375" style="1056" customWidth="1"/>
    <col min="8727" max="8727" width="29.42578125" style="1056" customWidth="1"/>
    <col min="8728" max="8960" width="11.5703125" style="1056"/>
    <col min="8961" max="8961" width="5.42578125" style="1056" customWidth="1"/>
    <col min="8962" max="8962" width="34.42578125" style="1056" customWidth="1"/>
    <col min="8963" max="8963" width="27.7109375" style="1056" customWidth="1"/>
    <col min="8964" max="8964" width="18.140625" style="1056" customWidth="1"/>
    <col min="8965" max="8965" width="24" style="1056" customWidth="1"/>
    <col min="8966" max="8966" width="16" style="1056" customWidth="1"/>
    <col min="8967" max="8967" width="16.140625" style="1056" customWidth="1"/>
    <col min="8968" max="8968" width="15.7109375" style="1056" customWidth="1"/>
    <col min="8969" max="8969" width="17.42578125" style="1056" customWidth="1"/>
    <col min="8970" max="8971" width="16.7109375" style="1056" customWidth="1"/>
    <col min="8972" max="8972" width="13.140625" style="1056" customWidth="1"/>
    <col min="8973" max="8973" width="14" style="1056" customWidth="1"/>
    <col min="8974" max="8974" width="17.28515625" style="1056" customWidth="1"/>
    <col min="8975" max="8975" width="16.42578125" style="1056" customWidth="1"/>
    <col min="8976" max="8977" width="15.42578125" style="1056" customWidth="1"/>
    <col min="8978" max="8978" width="25.7109375" style="1056" customWidth="1"/>
    <col min="8979" max="8979" width="31.7109375" style="1056" customWidth="1"/>
    <col min="8980" max="8980" width="34.140625" style="1056" customWidth="1"/>
    <col min="8981" max="8981" width="37.7109375" style="1056" customWidth="1"/>
    <col min="8982" max="8982" width="48.7109375" style="1056" customWidth="1"/>
    <col min="8983" max="8983" width="29.42578125" style="1056" customWidth="1"/>
    <col min="8984" max="9216" width="11.5703125" style="1056"/>
    <col min="9217" max="9217" width="5.42578125" style="1056" customWidth="1"/>
    <col min="9218" max="9218" width="34.42578125" style="1056" customWidth="1"/>
    <col min="9219" max="9219" width="27.7109375" style="1056" customWidth="1"/>
    <col min="9220" max="9220" width="18.140625" style="1056" customWidth="1"/>
    <col min="9221" max="9221" width="24" style="1056" customWidth="1"/>
    <col min="9222" max="9222" width="16" style="1056" customWidth="1"/>
    <col min="9223" max="9223" width="16.140625" style="1056" customWidth="1"/>
    <col min="9224" max="9224" width="15.7109375" style="1056" customWidth="1"/>
    <col min="9225" max="9225" width="17.42578125" style="1056" customWidth="1"/>
    <col min="9226" max="9227" width="16.7109375" style="1056" customWidth="1"/>
    <col min="9228" max="9228" width="13.140625" style="1056" customWidth="1"/>
    <col min="9229" max="9229" width="14" style="1056" customWidth="1"/>
    <col min="9230" max="9230" width="17.28515625" style="1056" customWidth="1"/>
    <col min="9231" max="9231" width="16.42578125" style="1056" customWidth="1"/>
    <col min="9232" max="9233" width="15.42578125" style="1056" customWidth="1"/>
    <col min="9234" max="9234" width="25.7109375" style="1056" customWidth="1"/>
    <col min="9235" max="9235" width="31.7109375" style="1056" customWidth="1"/>
    <col min="9236" max="9236" width="34.140625" style="1056" customWidth="1"/>
    <col min="9237" max="9237" width="37.7109375" style="1056" customWidth="1"/>
    <col min="9238" max="9238" width="48.7109375" style="1056" customWidth="1"/>
    <col min="9239" max="9239" width="29.42578125" style="1056" customWidth="1"/>
    <col min="9240" max="9472" width="11.5703125" style="1056"/>
    <col min="9473" max="9473" width="5.42578125" style="1056" customWidth="1"/>
    <col min="9474" max="9474" width="34.42578125" style="1056" customWidth="1"/>
    <col min="9475" max="9475" width="27.7109375" style="1056" customWidth="1"/>
    <col min="9476" max="9476" width="18.140625" style="1056" customWidth="1"/>
    <col min="9477" max="9477" width="24" style="1056" customWidth="1"/>
    <col min="9478" max="9478" width="16" style="1056" customWidth="1"/>
    <col min="9479" max="9479" width="16.140625" style="1056" customWidth="1"/>
    <col min="9480" max="9480" width="15.7109375" style="1056" customWidth="1"/>
    <col min="9481" max="9481" width="17.42578125" style="1056" customWidth="1"/>
    <col min="9482" max="9483" width="16.7109375" style="1056" customWidth="1"/>
    <col min="9484" max="9484" width="13.140625" style="1056" customWidth="1"/>
    <col min="9485" max="9485" width="14" style="1056" customWidth="1"/>
    <col min="9486" max="9486" width="17.28515625" style="1056" customWidth="1"/>
    <col min="9487" max="9487" width="16.42578125" style="1056" customWidth="1"/>
    <col min="9488" max="9489" width="15.42578125" style="1056" customWidth="1"/>
    <col min="9490" max="9490" width="25.7109375" style="1056" customWidth="1"/>
    <col min="9491" max="9491" width="31.7109375" style="1056" customWidth="1"/>
    <col min="9492" max="9492" width="34.140625" style="1056" customWidth="1"/>
    <col min="9493" max="9493" width="37.7109375" style="1056" customWidth="1"/>
    <col min="9494" max="9494" width="48.7109375" style="1056" customWidth="1"/>
    <col min="9495" max="9495" width="29.42578125" style="1056" customWidth="1"/>
    <col min="9496" max="9728" width="11.5703125" style="1056"/>
    <col min="9729" max="9729" width="5.42578125" style="1056" customWidth="1"/>
    <col min="9730" max="9730" width="34.42578125" style="1056" customWidth="1"/>
    <col min="9731" max="9731" width="27.7109375" style="1056" customWidth="1"/>
    <col min="9732" max="9732" width="18.140625" style="1056" customWidth="1"/>
    <col min="9733" max="9733" width="24" style="1056" customWidth="1"/>
    <col min="9734" max="9734" width="16" style="1056" customWidth="1"/>
    <col min="9735" max="9735" width="16.140625" style="1056" customWidth="1"/>
    <col min="9736" max="9736" width="15.7109375" style="1056" customWidth="1"/>
    <col min="9737" max="9737" width="17.42578125" style="1056" customWidth="1"/>
    <col min="9738" max="9739" width="16.7109375" style="1056" customWidth="1"/>
    <col min="9740" max="9740" width="13.140625" style="1056" customWidth="1"/>
    <col min="9741" max="9741" width="14" style="1056" customWidth="1"/>
    <col min="9742" max="9742" width="17.28515625" style="1056" customWidth="1"/>
    <col min="9743" max="9743" width="16.42578125" style="1056" customWidth="1"/>
    <col min="9744" max="9745" width="15.42578125" style="1056" customWidth="1"/>
    <col min="9746" max="9746" width="25.7109375" style="1056" customWidth="1"/>
    <col min="9747" max="9747" width="31.7109375" style="1056" customWidth="1"/>
    <col min="9748" max="9748" width="34.140625" style="1056" customWidth="1"/>
    <col min="9749" max="9749" width="37.7109375" style="1056" customWidth="1"/>
    <col min="9750" max="9750" width="48.7109375" style="1056" customWidth="1"/>
    <col min="9751" max="9751" width="29.42578125" style="1056" customWidth="1"/>
    <col min="9752" max="9984" width="11.5703125" style="1056"/>
    <col min="9985" max="9985" width="5.42578125" style="1056" customWidth="1"/>
    <col min="9986" max="9986" width="34.42578125" style="1056" customWidth="1"/>
    <col min="9987" max="9987" width="27.7109375" style="1056" customWidth="1"/>
    <col min="9988" max="9988" width="18.140625" style="1056" customWidth="1"/>
    <col min="9989" max="9989" width="24" style="1056" customWidth="1"/>
    <col min="9990" max="9990" width="16" style="1056" customWidth="1"/>
    <col min="9991" max="9991" width="16.140625" style="1056" customWidth="1"/>
    <col min="9992" max="9992" width="15.7109375" style="1056" customWidth="1"/>
    <col min="9993" max="9993" width="17.42578125" style="1056" customWidth="1"/>
    <col min="9994" max="9995" width="16.7109375" style="1056" customWidth="1"/>
    <col min="9996" max="9996" width="13.140625" style="1056" customWidth="1"/>
    <col min="9997" max="9997" width="14" style="1056" customWidth="1"/>
    <col min="9998" max="9998" width="17.28515625" style="1056" customWidth="1"/>
    <col min="9999" max="9999" width="16.42578125" style="1056" customWidth="1"/>
    <col min="10000" max="10001" width="15.42578125" style="1056" customWidth="1"/>
    <col min="10002" max="10002" width="25.7109375" style="1056" customWidth="1"/>
    <col min="10003" max="10003" width="31.7109375" style="1056" customWidth="1"/>
    <col min="10004" max="10004" width="34.140625" style="1056" customWidth="1"/>
    <col min="10005" max="10005" width="37.7109375" style="1056" customWidth="1"/>
    <col min="10006" max="10006" width="48.7109375" style="1056" customWidth="1"/>
    <col min="10007" max="10007" width="29.42578125" style="1056" customWidth="1"/>
    <col min="10008" max="10240" width="11.5703125" style="1056"/>
    <col min="10241" max="10241" width="5.42578125" style="1056" customWidth="1"/>
    <col min="10242" max="10242" width="34.42578125" style="1056" customWidth="1"/>
    <col min="10243" max="10243" width="27.7109375" style="1056" customWidth="1"/>
    <col min="10244" max="10244" width="18.140625" style="1056" customWidth="1"/>
    <col min="10245" max="10245" width="24" style="1056" customWidth="1"/>
    <col min="10246" max="10246" width="16" style="1056" customWidth="1"/>
    <col min="10247" max="10247" width="16.140625" style="1056" customWidth="1"/>
    <col min="10248" max="10248" width="15.7109375" style="1056" customWidth="1"/>
    <col min="10249" max="10249" width="17.42578125" style="1056" customWidth="1"/>
    <col min="10250" max="10251" width="16.7109375" style="1056" customWidth="1"/>
    <col min="10252" max="10252" width="13.140625" style="1056" customWidth="1"/>
    <col min="10253" max="10253" width="14" style="1056" customWidth="1"/>
    <col min="10254" max="10254" width="17.28515625" style="1056" customWidth="1"/>
    <col min="10255" max="10255" width="16.42578125" style="1056" customWidth="1"/>
    <col min="10256" max="10257" width="15.42578125" style="1056" customWidth="1"/>
    <col min="10258" max="10258" width="25.7109375" style="1056" customWidth="1"/>
    <col min="10259" max="10259" width="31.7109375" style="1056" customWidth="1"/>
    <col min="10260" max="10260" width="34.140625" style="1056" customWidth="1"/>
    <col min="10261" max="10261" width="37.7109375" style="1056" customWidth="1"/>
    <col min="10262" max="10262" width="48.7109375" style="1056" customWidth="1"/>
    <col min="10263" max="10263" width="29.42578125" style="1056" customWidth="1"/>
    <col min="10264" max="10496" width="11.5703125" style="1056"/>
    <col min="10497" max="10497" width="5.42578125" style="1056" customWidth="1"/>
    <col min="10498" max="10498" width="34.42578125" style="1056" customWidth="1"/>
    <col min="10499" max="10499" width="27.7109375" style="1056" customWidth="1"/>
    <col min="10500" max="10500" width="18.140625" style="1056" customWidth="1"/>
    <col min="10501" max="10501" width="24" style="1056" customWidth="1"/>
    <col min="10502" max="10502" width="16" style="1056" customWidth="1"/>
    <col min="10503" max="10503" width="16.140625" style="1056" customWidth="1"/>
    <col min="10504" max="10504" width="15.7109375" style="1056" customWidth="1"/>
    <col min="10505" max="10505" width="17.42578125" style="1056" customWidth="1"/>
    <col min="10506" max="10507" width="16.7109375" style="1056" customWidth="1"/>
    <col min="10508" max="10508" width="13.140625" style="1056" customWidth="1"/>
    <col min="10509" max="10509" width="14" style="1056" customWidth="1"/>
    <col min="10510" max="10510" width="17.28515625" style="1056" customWidth="1"/>
    <col min="10511" max="10511" width="16.42578125" style="1056" customWidth="1"/>
    <col min="10512" max="10513" width="15.42578125" style="1056" customWidth="1"/>
    <col min="10514" max="10514" width="25.7109375" style="1056" customWidth="1"/>
    <col min="10515" max="10515" width="31.7109375" style="1056" customWidth="1"/>
    <col min="10516" max="10516" width="34.140625" style="1056" customWidth="1"/>
    <col min="10517" max="10517" width="37.7109375" style="1056" customWidth="1"/>
    <col min="10518" max="10518" width="48.7109375" style="1056" customWidth="1"/>
    <col min="10519" max="10519" width="29.42578125" style="1056" customWidth="1"/>
    <col min="10520" max="10752" width="11.5703125" style="1056"/>
    <col min="10753" max="10753" width="5.42578125" style="1056" customWidth="1"/>
    <col min="10754" max="10754" width="34.42578125" style="1056" customWidth="1"/>
    <col min="10755" max="10755" width="27.7109375" style="1056" customWidth="1"/>
    <col min="10756" max="10756" width="18.140625" style="1056" customWidth="1"/>
    <col min="10757" max="10757" width="24" style="1056" customWidth="1"/>
    <col min="10758" max="10758" width="16" style="1056" customWidth="1"/>
    <col min="10759" max="10759" width="16.140625" style="1056" customWidth="1"/>
    <col min="10760" max="10760" width="15.7109375" style="1056" customWidth="1"/>
    <col min="10761" max="10761" width="17.42578125" style="1056" customWidth="1"/>
    <col min="10762" max="10763" width="16.7109375" style="1056" customWidth="1"/>
    <col min="10764" max="10764" width="13.140625" style="1056" customWidth="1"/>
    <col min="10765" max="10765" width="14" style="1056" customWidth="1"/>
    <col min="10766" max="10766" width="17.28515625" style="1056" customWidth="1"/>
    <col min="10767" max="10767" width="16.42578125" style="1056" customWidth="1"/>
    <col min="10768" max="10769" width="15.42578125" style="1056" customWidth="1"/>
    <col min="10770" max="10770" width="25.7109375" style="1056" customWidth="1"/>
    <col min="10771" max="10771" width="31.7109375" style="1056" customWidth="1"/>
    <col min="10772" max="10772" width="34.140625" style="1056" customWidth="1"/>
    <col min="10773" max="10773" width="37.7109375" style="1056" customWidth="1"/>
    <col min="10774" max="10774" width="48.7109375" style="1056" customWidth="1"/>
    <col min="10775" max="10775" width="29.42578125" style="1056" customWidth="1"/>
    <col min="10776" max="11008" width="11.5703125" style="1056"/>
    <col min="11009" max="11009" width="5.42578125" style="1056" customWidth="1"/>
    <col min="11010" max="11010" width="34.42578125" style="1056" customWidth="1"/>
    <col min="11011" max="11011" width="27.7109375" style="1056" customWidth="1"/>
    <col min="11012" max="11012" width="18.140625" style="1056" customWidth="1"/>
    <col min="11013" max="11013" width="24" style="1056" customWidth="1"/>
    <col min="11014" max="11014" width="16" style="1056" customWidth="1"/>
    <col min="11015" max="11015" width="16.140625" style="1056" customWidth="1"/>
    <col min="11016" max="11016" width="15.7109375" style="1056" customWidth="1"/>
    <col min="11017" max="11017" width="17.42578125" style="1056" customWidth="1"/>
    <col min="11018" max="11019" width="16.7109375" style="1056" customWidth="1"/>
    <col min="11020" max="11020" width="13.140625" style="1056" customWidth="1"/>
    <col min="11021" max="11021" width="14" style="1056" customWidth="1"/>
    <col min="11022" max="11022" width="17.28515625" style="1056" customWidth="1"/>
    <col min="11023" max="11023" width="16.42578125" style="1056" customWidth="1"/>
    <col min="11024" max="11025" width="15.42578125" style="1056" customWidth="1"/>
    <col min="11026" max="11026" width="25.7109375" style="1056" customWidth="1"/>
    <col min="11027" max="11027" width="31.7109375" style="1056" customWidth="1"/>
    <col min="11028" max="11028" width="34.140625" style="1056" customWidth="1"/>
    <col min="11029" max="11029" width="37.7109375" style="1056" customWidth="1"/>
    <col min="11030" max="11030" width="48.7109375" style="1056" customWidth="1"/>
    <col min="11031" max="11031" width="29.42578125" style="1056" customWidth="1"/>
    <col min="11032" max="11264" width="11.5703125" style="1056"/>
    <col min="11265" max="11265" width="5.42578125" style="1056" customWidth="1"/>
    <col min="11266" max="11266" width="34.42578125" style="1056" customWidth="1"/>
    <col min="11267" max="11267" width="27.7109375" style="1056" customWidth="1"/>
    <col min="11268" max="11268" width="18.140625" style="1056" customWidth="1"/>
    <col min="11269" max="11269" width="24" style="1056" customWidth="1"/>
    <col min="11270" max="11270" width="16" style="1056" customWidth="1"/>
    <col min="11271" max="11271" width="16.140625" style="1056" customWidth="1"/>
    <col min="11272" max="11272" width="15.7109375" style="1056" customWidth="1"/>
    <col min="11273" max="11273" width="17.42578125" style="1056" customWidth="1"/>
    <col min="11274" max="11275" width="16.7109375" style="1056" customWidth="1"/>
    <col min="11276" max="11276" width="13.140625" style="1056" customWidth="1"/>
    <col min="11277" max="11277" width="14" style="1056" customWidth="1"/>
    <col min="11278" max="11278" width="17.28515625" style="1056" customWidth="1"/>
    <col min="11279" max="11279" width="16.42578125" style="1056" customWidth="1"/>
    <col min="11280" max="11281" width="15.42578125" style="1056" customWidth="1"/>
    <col min="11282" max="11282" width="25.7109375" style="1056" customWidth="1"/>
    <col min="11283" max="11283" width="31.7109375" style="1056" customWidth="1"/>
    <col min="11284" max="11284" width="34.140625" style="1056" customWidth="1"/>
    <col min="11285" max="11285" width="37.7109375" style="1056" customWidth="1"/>
    <col min="11286" max="11286" width="48.7109375" style="1056" customWidth="1"/>
    <col min="11287" max="11287" width="29.42578125" style="1056" customWidth="1"/>
    <col min="11288" max="11520" width="11.5703125" style="1056"/>
    <col min="11521" max="11521" width="5.42578125" style="1056" customWidth="1"/>
    <col min="11522" max="11522" width="34.42578125" style="1056" customWidth="1"/>
    <col min="11523" max="11523" width="27.7109375" style="1056" customWidth="1"/>
    <col min="11524" max="11524" width="18.140625" style="1056" customWidth="1"/>
    <col min="11525" max="11525" width="24" style="1056" customWidth="1"/>
    <col min="11526" max="11526" width="16" style="1056" customWidth="1"/>
    <col min="11527" max="11527" width="16.140625" style="1056" customWidth="1"/>
    <col min="11528" max="11528" width="15.7109375" style="1056" customWidth="1"/>
    <col min="11529" max="11529" width="17.42578125" style="1056" customWidth="1"/>
    <col min="11530" max="11531" width="16.7109375" style="1056" customWidth="1"/>
    <col min="11532" max="11532" width="13.140625" style="1056" customWidth="1"/>
    <col min="11533" max="11533" width="14" style="1056" customWidth="1"/>
    <col min="11534" max="11534" width="17.28515625" style="1056" customWidth="1"/>
    <col min="11535" max="11535" width="16.42578125" style="1056" customWidth="1"/>
    <col min="11536" max="11537" width="15.42578125" style="1056" customWidth="1"/>
    <col min="11538" max="11538" width="25.7109375" style="1056" customWidth="1"/>
    <col min="11539" max="11539" width="31.7109375" style="1056" customWidth="1"/>
    <col min="11540" max="11540" width="34.140625" style="1056" customWidth="1"/>
    <col min="11541" max="11541" width="37.7109375" style="1056" customWidth="1"/>
    <col min="11542" max="11542" width="48.7109375" style="1056" customWidth="1"/>
    <col min="11543" max="11543" width="29.42578125" style="1056" customWidth="1"/>
    <col min="11544" max="11776" width="11.5703125" style="1056"/>
    <col min="11777" max="11777" width="5.42578125" style="1056" customWidth="1"/>
    <col min="11778" max="11778" width="34.42578125" style="1056" customWidth="1"/>
    <col min="11779" max="11779" width="27.7109375" style="1056" customWidth="1"/>
    <col min="11780" max="11780" width="18.140625" style="1056" customWidth="1"/>
    <col min="11781" max="11781" width="24" style="1056" customWidth="1"/>
    <col min="11782" max="11782" width="16" style="1056" customWidth="1"/>
    <col min="11783" max="11783" width="16.140625" style="1056" customWidth="1"/>
    <col min="11784" max="11784" width="15.7109375" style="1056" customWidth="1"/>
    <col min="11785" max="11785" width="17.42578125" style="1056" customWidth="1"/>
    <col min="11786" max="11787" width="16.7109375" style="1056" customWidth="1"/>
    <col min="11788" max="11788" width="13.140625" style="1056" customWidth="1"/>
    <col min="11789" max="11789" width="14" style="1056" customWidth="1"/>
    <col min="11790" max="11790" width="17.28515625" style="1056" customWidth="1"/>
    <col min="11791" max="11791" width="16.42578125" style="1056" customWidth="1"/>
    <col min="11792" max="11793" width="15.42578125" style="1056" customWidth="1"/>
    <col min="11794" max="11794" width="25.7109375" style="1056" customWidth="1"/>
    <col min="11795" max="11795" width="31.7109375" style="1056" customWidth="1"/>
    <col min="11796" max="11796" width="34.140625" style="1056" customWidth="1"/>
    <col min="11797" max="11797" width="37.7109375" style="1056" customWidth="1"/>
    <col min="11798" max="11798" width="48.7109375" style="1056" customWidth="1"/>
    <col min="11799" max="11799" width="29.42578125" style="1056" customWidth="1"/>
    <col min="11800" max="12032" width="11.5703125" style="1056"/>
    <col min="12033" max="12033" width="5.42578125" style="1056" customWidth="1"/>
    <col min="12034" max="12034" width="34.42578125" style="1056" customWidth="1"/>
    <col min="12035" max="12035" width="27.7109375" style="1056" customWidth="1"/>
    <col min="12036" max="12036" width="18.140625" style="1056" customWidth="1"/>
    <col min="12037" max="12037" width="24" style="1056" customWidth="1"/>
    <col min="12038" max="12038" width="16" style="1056" customWidth="1"/>
    <col min="12039" max="12039" width="16.140625" style="1056" customWidth="1"/>
    <col min="12040" max="12040" width="15.7109375" style="1056" customWidth="1"/>
    <col min="12041" max="12041" width="17.42578125" style="1056" customWidth="1"/>
    <col min="12042" max="12043" width="16.7109375" style="1056" customWidth="1"/>
    <col min="12044" max="12044" width="13.140625" style="1056" customWidth="1"/>
    <col min="12045" max="12045" width="14" style="1056" customWidth="1"/>
    <col min="12046" max="12046" width="17.28515625" style="1056" customWidth="1"/>
    <col min="12047" max="12047" width="16.42578125" style="1056" customWidth="1"/>
    <col min="12048" max="12049" width="15.42578125" style="1056" customWidth="1"/>
    <col min="12050" max="12050" width="25.7109375" style="1056" customWidth="1"/>
    <col min="12051" max="12051" width="31.7109375" style="1056" customWidth="1"/>
    <col min="12052" max="12052" width="34.140625" style="1056" customWidth="1"/>
    <col min="12053" max="12053" width="37.7109375" style="1056" customWidth="1"/>
    <col min="12054" max="12054" width="48.7109375" style="1056" customWidth="1"/>
    <col min="12055" max="12055" width="29.42578125" style="1056" customWidth="1"/>
    <col min="12056" max="12288" width="11.5703125" style="1056"/>
    <col min="12289" max="12289" width="5.42578125" style="1056" customWidth="1"/>
    <col min="12290" max="12290" width="34.42578125" style="1056" customWidth="1"/>
    <col min="12291" max="12291" width="27.7109375" style="1056" customWidth="1"/>
    <col min="12292" max="12292" width="18.140625" style="1056" customWidth="1"/>
    <col min="12293" max="12293" width="24" style="1056" customWidth="1"/>
    <col min="12294" max="12294" width="16" style="1056" customWidth="1"/>
    <col min="12295" max="12295" width="16.140625" style="1056" customWidth="1"/>
    <col min="12296" max="12296" width="15.7109375" style="1056" customWidth="1"/>
    <col min="12297" max="12297" width="17.42578125" style="1056" customWidth="1"/>
    <col min="12298" max="12299" width="16.7109375" style="1056" customWidth="1"/>
    <col min="12300" max="12300" width="13.140625" style="1056" customWidth="1"/>
    <col min="12301" max="12301" width="14" style="1056" customWidth="1"/>
    <col min="12302" max="12302" width="17.28515625" style="1056" customWidth="1"/>
    <col min="12303" max="12303" width="16.42578125" style="1056" customWidth="1"/>
    <col min="12304" max="12305" width="15.42578125" style="1056" customWidth="1"/>
    <col min="12306" max="12306" width="25.7109375" style="1056" customWidth="1"/>
    <col min="12307" max="12307" width="31.7109375" style="1056" customWidth="1"/>
    <col min="12308" max="12308" width="34.140625" style="1056" customWidth="1"/>
    <col min="12309" max="12309" width="37.7109375" style="1056" customWidth="1"/>
    <col min="12310" max="12310" width="48.7109375" style="1056" customWidth="1"/>
    <col min="12311" max="12311" width="29.42578125" style="1056" customWidth="1"/>
    <col min="12312" max="12544" width="11.5703125" style="1056"/>
    <col min="12545" max="12545" width="5.42578125" style="1056" customWidth="1"/>
    <col min="12546" max="12546" width="34.42578125" style="1056" customWidth="1"/>
    <col min="12547" max="12547" width="27.7109375" style="1056" customWidth="1"/>
    <col min="12548" max="12548" width="18.140625" style="1056" customWidth="1"/>
    <col min="12549" max="12549" width="24" style="1056" customWidth="1"/>
    <col min="12550" max="12550" width="16" style="1056" customWidth="1"/>
    <col min="12551" max="12551" width="16.140625" style="1056" customWidth="1"/>
    <col min="12552" max="12552" width="15.7109375" style="1056" customWidth="1"/>
    <col min="12553" max="12553" width="17.42578125" style="1056" customWidth="1"/>
    <col min="12554" max="12555" width="16.7109375" style="1056" customWidth="1"/>
    <col min="12556" max="12556" width="13.140625" style="1056" customWidth="1"/>
    <col min="12557" max="12557" width="14" style="1056" customWidth="1"/>
    <col min="12558" max="12558" width="17.28515625" style="1056" customWidth="1"/>
    <col min="12559" max="12559" width="16.42578125" style="1056" customWidth="1"/>
    <col min="12560" max="12561" width="15.42578125" style="1056" customWidth="1"/>
    <col min="12562" max="12562" width="25.7109375" style="1056" customWidth="1"/>
    <col min="12563" max="12563" width="31.7109375" style="1056" customWidth="1"/>
    <col min="12564" max="12564" width="34.140625" style="1056" customWidth="1"/>
    <col min="12565" max="12565" width="37.7109375" style="1056" customWidth="1"/>
    <col min="12566" max="12566" width="48.7109375" style="1056" customWidth="1"/>
    <col min="12567" max="12567" width="29.42578125" style="1056" customWidth="1"/>
    <col min="12568" max="12800" width="11.5703125" style="1056"/>
    <col min="12801" max="12801" width="5.42578125" style="1056" customWidth="1"/>
    <col min="12802" max="12802" width="34.42578125" style="1056" customWidth="1"/>
    <col min="12803" max="12803" width="27.7109375" style="1056" customWidth="1"/>
    <col min="12804" max="12804" width="18.140625" style="1056" customWidth="1"/>
    <col min="12805" max="12805" width="24" style="1056" customWidth="1"/>
    <col min="12806" max="12806" width="16" style="1056" customWidth="1"/>
    <col min="12807" max="12807" width="16.140625" style="1056" customWidth="1"/>
    <col min="12808" max="12808" width="15.7109375" style="1056" customWidth="1"/>
    <col min="12809" max="12809" width="17.42578125" style="1056" customWidth="1"/>
    <col min="12810" max="12811" width="16.7109375" style="1056" customWidth="1"/>
    <col min="12812" max="12812" width="13.140625" style="1056" customWidth="1"/>
    <col min="12813" max="12813" width="14" style="1056" customWidth="1"/>
    <col min="12814" max="12814" width="17.28515625" style="1056" customWidth="1"/>
    <col min="12815" max="12815" width="16.42578125" style="1056" customWidth="1"/>
    <col min="12816" max="12817" width="15.42578125" style="1056" customWidth="1"/>
    <col min="12818" max="12818" width="25.7109375" style="1056" customWidth="1"/>
    <col min="12819" max="12819" width="31.7109375" style="1056" customWidth="1"/>
    <col min="12820" max="12820" width="34.140625" style="1056" customWidth="1"/>
    <col min="12821" max="12821" width="37.7109375" style="1056" customWidth="1"/>
    <col min="12822" max="12822" width="48.7109375" style="1056" customWidth="1"/>
    <col min="12823" max="12823" width="29.42578125" style="1056" customWidth="1"/>
    <col min="12824" max="13056" width="11.5703125" style="1056"/>
    <col min="13057" max="13057" width="5.42578125" style="1056" customWidth="1"/>
    <col min="13058" max="13058" width="34.42578125" style="1056" customWidth="1"/>
    <col min="13059" max="13059" width="27.7109375" style="1056" customWidth="1"/>
    <col min="13060" max="13060" width="18.140625" style="1056" customWidth="1"/>
    <col min="13061" max="13061" width="24" style="1056" customWidth="1"/>
    <col min="13062" max="13062" width="16" style="1056" customWidth="1"/>
    <col min="13063" max="13063" width="16.140625" style="1056" customWidth="1"/>
    <col min="13064" max="13064" width="15.7109375" style="1056" customWidth="1"/>
    <col min="13065" max="13065" width="17.42578125" style="1056" customWidth="1"/>
    <col min="13066" max="13067" width="16.7109375" style="1056" customWidth="1"/>
    <col min="13068" max="13068" width="13.140625" style="1056" customWidth="1"/>
    <col min="13069" max="13069" width="14" style="1056" customWidth="1"/>
    <col min="13070" max="13070" width="17.28515625" style="1056" customWidth="1"/>
    <col min="13071" max="13071" width="16.42578125" style="1056" customWidth="1"/>
    <col min="13072" max="13073" width="15.42578125" style="1056" customWidth="1"/>
    <col min="13074" max="13074" width="25.7109375" style="1056" customWidth="1"/>
    <col min="13075" max="13075" width="31.7109375" style="1056" customWidth="1"/>
    <col min="13076" max="13076" width="34.140625" style="1056" customWidth="1"/>
    <col min="13077" max="13077" width="37.7109375" style="1056" customWidth="1"/>
    <col min="13078" max="13078" width="48.7109375" style="1056" customWidth="1"/>
    <col min="13079" max="13079" width="29.42578125" style="1056" customWidth="1"/>
    <col min="13080" max="13312" width="11.5703125" style="1056"/>
    <col min="13313" max="13313" width="5.42578125" style="1056" customWidth="1"/>
    <col min="13314" max="13314" width="34.42578125" style="1056" customWidth="1"/>
    <col min="13315" max="13315" width="27.7109375" style="1056" customWidth="1"/>
    <col min="13316" max="13316" width="18.140625" style="1056" customWidth="1"/>
    <col min="13317" max="13317" width="24" style="1056" customWidth="1"/>
    <col min="13318" max="13318" width="16" style="1056" customWidth="1"/>
    <col min="13319" max="13319" width="16.140625" style="1056" customWidth="1"/>
    <col min="13320" max="13320" width="15.7109375" style="1056" customWidth="1"/>
    <col min="13321" max="13321" width="17.42578125" style="1056" customWidth="1"/>
    <col min="13322" max="13323" width="16.7109375" style="1056" customWidth="1"/>
    <col min="13324" max="13324" width="13.140625" style="1056" customWidth="1"/>
    <col min="13325" max="13325" width="14" style="1056" customWidth="1"/>
    <col min="13326" max="13326" width="17.28515625" style="1056" customWidth="1"/>
    <col min="13327" max="13327" width="16.42578125" style="1056" customWidth="1"/>
    <col min="13328" max="13329" width="15.42578125" style="1056" customWidth="1"/>
    <col min="13330" max="13330" width="25.7109375" style="1056" customWidth="1"/>
    <col min="13331" max="13331" width="31.7109375" style="1056" customWidth="1"/>
    <col min="13332" max="13332" width="34.140625" style="1056" customWidth="1"/>
    <col min="13333" max="13333" width="37.7109375" style="1056" customWidth="1"/>
    <col min="13334" max="13334" width="48.7109375" style="1056" customWidth="1"/>
    <col min="13335" max="13335" width="29.42578125" style="1056" customWidth="1"/>
    <col min="13336" max="13568" width="11.5703125" style="1056"/>
    <col min="13569" max="13569" width="5.42578125" style="1056" customWidth="1"/>
    <col min="13570" max="13570" width="34.42578125" style="1056" customWidth="1"/>
    <col min="13571" max="13571" width="27.7109375" style="1056" customWidth="1"/>
    <col min="13572" max="13572" width="18.140625" style="1056" customWidth="1"/>
    <col min="13573" max="13573" width="24" style="1056" customWidth="1"/>
    <col min="13574" max="13574" width="16" style="1056" customWidth="1"/>
    <col min="13575" max="13575" width="16.140625" style="1056" customWidth="1"/>
    <col min="13576" max="13576" width="15.7109375" style="1056" customWidth="1"/>
    <col min="13577" max="13577" width="17.42578125" style="1056" customWidth="1"/>
    <col min="13578" max="13579" width="16.7109375" style="1056" customWidth="1"/>
    <col min="13580" max="13580" width="13.140625" style="1056" customWidth="1"/>
    <col min="13581" max="13581" width="14" style="1056" customWidth="1"/>
    <col min="13582" max="13582" width="17.28515625" style="1056" customWidth="1"/>
    <col min="13583" max="13583" width="16.42578125" style="1056" customWidth="1"/>
    <col min="13584" max="13585" width="15.42578125" style="1056" customWidth="1"/>
    <col min="13586" max="13586" width="25.7109375" style="1056" customWidth="1"/>
    <col min="13587" max="13587" width="31.7109375" style="1056" customWidth="1"/>
    <col min="13588" max="13588" width="34.140625" style="1056" customWidth="1"/>
    <col min="13589" max="13589" width="37.7109375" style="1056" customWidth="1"/>
    <col min="13590" max="13590" width="48.7109375" style="1056" customWidth="1"/>
    <col min="13591" max="13591" width="29.42578125" style="1056" customWidth="1"/>
    <col min="13592" max="13824" width="11.5703125" style="1056"/>
    <col min="13825" max="13825" width="5.42578125" style="1056" customWidth="1"/>
    <col min="13826" max="13826" width="34.42578125" style="1056" customWidth="1"/>
    <col min="13827" max="13827" width="27.7109375" style="1056" customWidth="1"/>
    <col min="13828" max="13828" width="18.140625" style="1056" customWidth="1"/>
    <col min="13829" max="13829" width="24" style="1056" customWidth="1"/>
    <col min="13830" max="13830" width="16" style="1056" customWidth="1"/>
    <col min="13831" max="13831" width="16.140625" style="1056" customWidth="1"/>
    <col min="13832" max="13832" width="15.7109375" style="1056" customWidth="1"/>
    <col min="13833" max="13833" width="17.42578125" style="1056" customWidth="1"/>
    <col min="13834" max="13835" width="16.7109375" style="1056" customWidth="1"/>
    <col min="13836" max="13836" width="13.140625" style="1056" customWidth="1"/>
    <col min="13837" max="13837" width="14" style="1056" customWidth="1"/>
    <col min="13838" max="13838" width="17.28515625" style="1056" customWidth="1"/>
    <col min="13839" max="13839" width="16.42578125" style="1056" customWidth="1"/>
    <col min="13840" max="13841" width="15.42578125" style="1056" customWidth="1"/>
    <col min="13842" max="13842" width="25.7109375" style="1056" customWidth="1"/>
    <col min="13843" max="13843" width="31.7109375" style="1056" customWidth="1"/>
    <col min="13844" max="13844" width="34.140625" style="1056" customWidth="1"/>
    <col min="13845" max="13845" width="37.7109375" style="1056" customWidth="1"/>
    <col min="13846" max="13846" width="48.7109375" style="1056" customWidth="1"/>
    <col min="13847" max="13847" width="29.42578125" style="1056" customWidth="1"/>
    <col min="13848" max="14080" width="11.5703125" style="1056"/>
    <col min="14081" max="14081" width="5.42578125" style="1056" customWidth="1"/>
    <col min="14082" max="14082" width="34.42578125" style="1056" customWidth="1"/>
    <col min="14083" max="14083" width="27.7109375" style="1056" customWidth="1"/>
    <col min="14084" max="14084" width="18.140625" style="1056" customWidth="1"/>
    <col min="14085" max="14085" width="24" style="1056" customWidth="1"/>
    <col min="14086" max="14086" width="16" style="1056" customWidth="1"/>
    <col min="14087" max="14087" width="16.140625" style="1056" customWidth="1"/>
    <col min="14088" max="14088" width="15.7109375" style="1056" customWidth="1"/>
    <col min="14089" max="14089" width="17.42578125" style="1056" customWidth="1"/>
    <col min="14090" max="14091" width="16.7109375" style="1056" customWidth="1"/>
    <col min="14092" max="14092" width="13.140625" style="1056" customWidth="1"/>
    <col min="14093" max="14093" width="14" style="1056" customWidth="1"/>
    <col min="14094" max="14094" width="17.28515625" style="1056" customWidth="1"/>
    <col min="14095" max="14095" width="16.42578125" style="1056" customWidth="1"/>
    <col min="14096" max="14097" width="15.42578125" style="1056" customWidth="1"/>
    <col min="14098" max="14098" width="25.7109375" style="1056" customWidth="1"/>
    <col min="14099" max="14099" width="31.7109375" style="1056" customWidth="1"/>
    <col min="14100" max="14100" width="34.140625" style="1056" customWidth="1"/>
    <col min="14101" max="14101" width="37.7109375" style="1056" customWidth="1"/>
    <col min="14102" max="14102" width="48.7109375" style="1056" customWidth="1"/>
    <col min="14103" max="14103" width="29.42578125" style="1056" customWidth="1"/>
    <col min="14104" max="14336" width="11.5703125" style="1056"/>
    <col min="14337" max="14337" width="5.42578125" style="1056" customWidth="1"/>
    <col min="14338" max="14338" width="34.42578125" style="1056" customWidth="1"/>
    <col min="14339" max="14339" width="27.7109375" style="1056" customWidth="1"/>
    <col min="14340" max="14340" width="18.140625" style="1056" customWidth="1"/>
    <col min="14341" max="14341" width="24" style="1056" customWidth="1"/>
    <col min="14342" max="14342" width="16" style="1056" customWidth="1"/>
    <col min="14343" max="14343" width="16.140625" style="1056" customWidth="1"/>
    <col min="14344" max="14344" width="15.7109375" style="1056" customWidth="1"/>
    <col min="14345" max="14345" width="17.42578125" style="1056" customWidth="1"/>
    <col min="14346" max="14347" width="16.7109375" style="1056" customWidth="1"/>
    <col min="14348" max="14348" width="13.140625" style="1056" customWidth="1"/>
    <col min="14349" max="14349" width="14" style="1056" customWidth="1"/>
    <col min="14350" max="14350" width="17.28515625" style="1056" customWidth="1"/>
    <col min="14351" max="14351" width="16.42578125" style="1056" customWidth="1"/>
    <col min="14352" max="14353" width="15.42578125" style="1056" customWidth="1"/>
    <col min="14354" max="14354" width="25.7109375" style="1056" customWidth="1"/>
    <col min="14355" max="14355" width="31.7109375" style="1056" customWidth="1"/>
    <col min="14356" max="14356" width="34.140625" style="1056" customWidth="1"/>
    <col min="14357" max="14357" width="37.7109375" style="1056" customWidth="1"/>
    <col min="14358" max="14358" width="48.7109375" style="1056" customWidth="1"/>
    <col min="14359" max="14359" width="29.42578125" style="1056" customWidth="1"/>
    <col min="14360" max="14592" width="11.5703125" style="1056"/>
    <col min="14593" max="14593" width="5.42578125" style="1056" customWidth="1"/>
    <col min="14594" max="14594" width="34.42578125" style="1056" customWidth="1"/>
    <col min="14595" max="14595" width="27.7109375" style="1056" customWidth="1"/>
    <col min="14596" max="14596" width="18.140625" style="1056" customWidth="1"/>
    <col min="14597" max="14597" width="24" style="1056" customWidth="1"/>
    <col min="14598" max="14598" width="16" style="1056" customWidth="1"/>
    <col min="14599" max="14599" width="16.140625" style="1056" customWidth="1"/>
    <col min="14600" max="14600" width="15.7109375" style="1056" customWidth="1"/>
    <col min="14601" max="14601" width="17.42578125" style="1056" customWidth="1"/>
    <col min="14602" max="14603" width="16.7109375" style="1056" customWidth="1"/>
    <col min="14604" max="14604" width="13.140625" style="1056" customWidth="1"/>
    <col min="14605" max="14605" width="14" style="1056" customWidth="1"/>
    <col min="14606" max="14606" width="17.28515625" style="1056" customWidth="1"/>
    <col min="14607" max="14607" width="16.42578125" style="1056" customWidth="1"/>
    <col min="14608" max="14609" width="15.42578125" style="1056" customWidth="1"/>
    <col min="14610" max="14610" width="25.7109375" style="1056" customWidth="1"/>
    <col min="14611" max="14611" width="31.7109375" style="1056" customWidth="1"/>
    <col min="14612" max="14612" width="34.140625" style="1056" customWidth="1"/>
    <col min="14613" max="14613" width="37.7109375" style="1056" customWidth="1"/>
    <col min="14614" max="14614" width="48.7109375" style="1056" customWidth="1"/>
    <col min="14615" max="14615" width="29.42578125" style="1056" customWidth="1"/>
    <col min="14616" max="14848" width="11.5703125" style="1056"/>
    <col min="14849" max="14849" width="5.42578125" style="1056" customWidth="1"/>
    <col min="14850" max="14850" width="34.42578125" style="1056" customWidth="1"/>
    <col min="14851" max="14851" width="27.7109375" style="1056" customWidth="1"/>
    <col min="14852" max="14852" width="18.140625" style="1056" customWidth="1"/>
    <col min="14853" max="14853" width="24" style="1056" customWidth="1"/>
    <col min="14854" max="14854" width="16" style="1056" customWidth="1"/>
    <col min="14855" max="14855" width="16.140625" style="1056" customWidth="1"/>
    <col min="14856" max="14856" width="15.7109375" style="1056" customWidth="1"/>
    <col min="14857" max="14857" width="17.42578125" style="1056" customWidth="1"/>
    <col min="14858" max="14859" width="16.7109375" style="1056" customWidth="1"/>
    <col min="14860" max="14860" width="13.140625" style="1056" customWidth="1"/>
    <col min="14861" max="14861" width="14" style="1056" customWidth="1"/>
    <col min="14862" max="14862" width="17.28515625" style="1056" customWidth="1"/>
    <col min="14863" max="14863" width="16.42578125" style="1056" customWidth="1"/>
    <col min="14864" max="14865" width="15.42578125" style="1056" customWidth="1"/>
    <col min="14866" max="14866" width="25.7109375" style="1056" customWidth="1"/>
    <col min="14867" max="14867" width="31.7109375" style="1056" customWidth="1"/>
    <col min="14868" max="14868" width="34.140625" style="1056" customWidth="1"/>
    <col min="14869" max="14869" width="37.7109375" style="1056" customWidth="1"/>
    <col min="14870" max="14870" width="48.7109375" style="1056" customWidth="1"/>
    <col min="14871" max="14871" width="29.42578125" style="1056" customWidth="1"/>
    <col min="14872" max="15104" width="11.5703125" style="1056"/>
    <col min="15105" max="15105" width="5.42578125" style="1056" customWidth="1"/>
    <col min="15106" max="15106" width="34.42578125" style="1056" customWidth="1"/>
    <col min="15107" max="15107" width="27.7109375" style="1056" customWidth="1"/>
    <col min="15108" max="15108" width="18.140625" style="1056" customWidth="1"/>
    <col min="15109" max="15109" width="24" style="1056" customWidth="1"/>
    <col min="15110" max="15110" width="16" style="1056" customWidth="1"/>
    <col min="15111" max="15111" width="16.140625" style="1056" customWidth="1"/>
    <col min="15112" max="15112" width="15.7109375" style="1056" customWidth="1"/>
    <col min="15113" max="15113" width="17.42578125" style="1056" customWidth="1"/>
    <col min="15114" max="15115" width="16.7109375" style="1056" customWidth="1"/>
    <col min="15116" max="15116" width="13.140625" style="1056" customWidth="1"/>
    <col min="15117" max="15117" width="14" style="1056" customWidth="1"/>
    <col min="15118" max="15118" width="17.28515625" style="1056" customWidth="1"/>
    <col min="15119" max="15119" width="16.42578125" style="1056" customWidth="1"/>
    <col min="15120" max="15121" width="15.42578125" style="1056" customWidth="1"/>
    <col min="15122" max="15122" width="25.7109375" style="1056" customWidth="1"/>
    <col min="15123" max="15123" width="31.7109375" style="1056" customWidth="1"/>
    <col min="15124" max="15124" width="34.140625" style="1056" customWidth="1"/>
    <col min="15125" max="15125" width="37.7109375" style="1056" customWidth="1"/>
    <col min="15126" max="15126" width="48.7109375" style="1056" customWidth="1"/>
    <col min="15127" max="15127" width="29.42578125" style="1056" customWidth="1"/>
    <col min="15128" max="15360" width="11.5703125" style="1056"/>
    <col min="15361" max="15361" width="5.42578125" style="1056" customWidth="1"/>
    <col min="15362" max="15362" width="34.42578125" style="1056" customWidth="1"/>
    <col min="15363" max="15363" width="27.7109375" style="1056" customWidth="1"/>
    <col min="15364" max="15364" width="18.140625" style="1056" customWidth="1"/>
    <col min="15365" max="15365" width="24" style="1056" customWidth="1"/>
    <col min="15366" max="15366" width="16" style="1056" customWidth="1"/>
    <col min="15367" max="15367" width="16.140625" style="1056" customWidth="1"/>
    <col min="15368" max="15368" width="15.7109375" style="1056" customWidth="1"/>
    <col min="15369" max="15369" width="17.42578125" style="1056" customWidth="1"/>
    <col min="15370" max="15371" width="16.7109375" style="1056" customWidth="1"/>
    <col min="15372" max="15372" width="13.140625" style="1056" customWidth="1"/>
    <col min="15373" max="15373" width="14" style="1056" customWidth="1"/>
    <col min="15374" max="15374" width="17.28515625" style="1056" customWidth="1"/>
    <col min="15375" max="15375" width="16.42578125" style="1056" customWidth="1"/>
    <col min="15376" max="15377" width="15.42578125" style="1056" customWidth="1"/>
    <col min="15378" max="15378" width="25.7109375" style="1056" customWidth="1"/>
    <col min="15379" max="15379" width="31.7109375" style="1056" customWidth="1"/>
    <col min="15380" max="15380" width="34.140625" style="1056" customWidth="1"/>
    <col min="15381" max="15381" width="37.7109375" style="1056" customWidth="1"/>
    <col min="15382" max="15382" width="48.7109375" style="1056" customWidth="1"/>
    <col min="15383" max="15383" width="29.42578125" style="1056" customWidth="1"/>
    <col min="15384" max="15616" width="11.5703125" style="1056"/>
    <col min="15617" max="15617" width="5.42578125" style="1056" customWidth="1"/>
    <col min="15618" max="15618" width="34.42578125" style="1056" customWidth="1"/>
    <col min="15619" max="15619" width="27.7109375" style="1056" customWidth="1"/>
    <col min="15620" max="15620" width="18.140625" style="1056" customWidth="1"/>
    <col min="15621" max="15621" width="24" style="1056" customWidth="1"/>
    <col min="15622" max="15622" width="16" style="1056" customWidth="1"/>
    <col min="15623" max="15623" width="16.140625" style="1056" customWidth="1"/>
    <col min="15624" max="15624" width="15.7109375" style="1056" customWidth="1"/>
    <col min="15625" max="15625" width="17.42578125" style="1056" customWidth="1"/>
    <col min="15626" max="15627" width="16.7109375" style="1056" customWidth="1"/>
    <col min="15628" max="15628" width="13.140625" style="1056" customWidth="1"/>
    <col min="15629" max="15629" width="14" style="1056" customWidth="1"/>
    <col min="15630" max="15630" width="17.28515625" style="1056" customWidth="1"/>
    <col min="15631" max="15631" width="16.42578125" style="1056" customWidth="1"/>
    <col min="15632" max="15633" width="15.42578125" style="1056" customWidth="1"/>
    <col min="15634" max="15634" width="25.7109375" style="1056" customWidth="1"/>
    <col min="15635" max="15635" width="31.7109375" style="1056" customWidth="1"/>
    <col min="15636" max="15636" width="34.140625" style="1056" customWidth="1"/>
    <col min="15637" max="15637" width="37.7109375" style="1056" customWidth="1"/>
    <col min="15638" max="15638" width="48.7109375" style="1056" customWidth="1"/>
    <col min="15639" max="15639" width="29.42578125" style="1056" customWidth="1"/>
    <col min="15640" max="15872" width="11.5703125" style="1056"/>
    <col min="15873" max="15873" width="5.42578125" style="1056" customWidth="1"/>
    <col min="15874" max="15874" width="34.42578125" style="1056" customWidth="1"/>
    <col min="15875" max="15875" width="27.7109375" style="1056" customWidth="1"/>
    <col min="15876" max="15876" width="18.140625" style="1056" customWidth="1"/>
    <col min="15877" max="15877" width="24" style="1056" customWidth="1"/>
    <col min="15878" max="15878" width="16" style="1056" customWidth="1"/>
    <col min="15879" max="15879" width="16.140625" style="1056" customWidth="1"/>
    <col min="15880" max="15880" width="15.7109375" style="1056" customWidth="1"/>
    <col min="15881" max="15881" width="17.42578125" style="1056" customWidth="1"/>
    <col min="15882" max="15883" width="16.7109375" style="1056" customWidth="1"/>
    <col min="15884" max="15884" width="13.140625" style="1056" customWidth="1"/>
    <col min="15885" max="15885" width="14" style="1056" customWidth="1"/>
    <col min="15886" max="15886" width="17.28515625" style="1056" customWidth="1"/>
    <col min="15887" max="15887" width="16.42578125" style="1056" customWidth="1"/>
    <col min="15888" max="15889" width="15.42578125" style="1056" customWidth="1"/>
    <col min="15890" max="15890" width="25.7109375" style="1056" customWidth="1"/>
    <col min="15891" max="15891" width="31.7109375" style="1056" customWidth="1"/>
    <col min="15892" max="15892" width="34.140625" style="1056" customWidth="1"/>
    <col min="15893" max="15893" width="37.7109375" style="1056" customWidth="1"/>
    <col min="15894" max="15894" width="48.7109375" style="1056" customWidth="1"/>
    <col min="15895" max="15895" width="29.42578125" style="1056" customWidth="1"/>
    <col min="15896" max="16128" width="11.5703125" style="1056"/>
    <col min="16129" max="16129" width="5.42578125" style="1056" customWidth="1"/>
    <col min="16130" max="16130" width="34.42578125" style="1056" customWidth="1"/>
    <col min="16131" max="16131" width="27.7109375" style="1056" customWidth="1"/>
    <col min="16132" max="16132" width="18.140625" style="1056" customWidth="1"/>
    <col min="16133" max="16133" width="24" style="1056" customWidth="1"/>
    <col min="16134" max="16134" width="16" style="1056" customWidth="1"/>
    <col min="16135" max="16135" width="16.140625" style="1056" customWidth="1"/>
    <col min="16136" max="16136" width="15.7109375" style="1056" customWidth="1"/>
    <col min="16137" max="16137" width="17.42578125" style="1056" customWidth="1"/>
    <col min="16138" max="16139" width="16.7109375" style="1056" customWidth="1"/>
    <col min="16140" max="16140" width="13.140625" style="1056" customWidth="1"/>
    <col min="16141" max="16141" width="14" style="1056" customWidth="1"/>
    <col min="16142" max="16142" width="17.28515625" style="1056" customWidth="1"/>
    <col min="16143" max="16143" width="16.42578125" style="1056" customWidth="1"/>
    <col min="16144" max="16145" width="15.42578125" style="1056" customWidth="1"/>
    <col min="16146" max="16146" width="25.7109375" style="1056" customWidth="1"/>
    <col min="16147" max="16147" width="31.7109375" style="1056" customWidth="1"/>
    <col min="16148" max="16148" width="34.140625" style="1056" customWidth="1"/>
    <col min="16149" max="16149" width="37.7109375" style="1056" customWidth="1"/>
    <col min="16150" max="16150" width="48.7109375" style="1056" customWidth="1"/>
    <col min="16151" max="16151" width="29.42578125" style="1056" customWidth="1"/>
    <col min="16152" max="16384" width="11.5703125" style="1056"/>
  </cols>
  <sheetData>
    <row r="2" spans="1:24" ht="51" customHeight="1" x14ac:dyDescent="0.2">
      <c r="B2" s="1816"/>
      <c r="C2" s="1488" t="s">
        <v>1788</v>
      </c>
      <c r="D2" s="1488"/>
      <c r="E2" s="1488"/>
      <c r="F2" s="1488"/>
      <c r="G2" s="1488"/>
      <c r="H2" s="1488"/>
      <c r="I2" s="1488"/>
      <c r="J2" s="1488"/>
      <c r="K2" s="1488"/>
      <c r="L2" s="1488"/>
      <c r="M2" s="1488"/>
      <c r="N2" s="1488"/>
      <c r="O2" s="1488"/>
      <c r="P2" s="1488"/>
      <c r="Q2" s="1488"/>
      <c r="R2" s="1488"/>
      <c r="S2" s="1488"/>
      <c r="T2" s="1488"/>
      <c r="U2" s="1488"/>
      <c r="V2" s="1721" t="s">
        <v>1785</v>
      </c>
    </row>
    <row r="3" spans="1:24" ht="41.25" customHeight="1" x14ac:dyDescent="0.2">
      <c r="B3" s="1723"/>
      <c r="C3" s="1488"/>
      <c r="D3" s="1488"/>
      <c r="E3" s="1488"/>
      <c r="F3" s="1488"/>
      <c r="G3" s="1488"/>
      <c r="H3" s="1488"/>
      <c r="I3" s="1488"/>
      <c r="J3" s="1488"/>
      <c r="K3" s="1488"/>
      <c r="L3" s="1488"/>
      <c r="M3" s="1488"/>
      <c r="N3" s="1488"/>
      <c r="O3" s="1488"/>
      <c r="P3" s="1488"/>
      <c r="Q3" s="1488"/>
      <c r="R3" s="1488"/>
      <c r="S3" s="1488"/>
      <c r="T3" s="1488"/>
      <c r="U3" s="1488"/>
      <c r="V3" s="1721"/>
    </row>
    <row r="5" spans="1:24" s="630" customFormat="1" ht="32.25" customHeight="1" x14ac:dyDescent="0.2">
      <c r="A5" s="1038"/>
      <c r="B5" s="1144"/>
      <c r="C5" s="1817" t="s">
        <v>1739</v>
      </c>
      <c r="D5" s="1817"/>
      <c r="E5" s="1817"/>
      <c r="F5" s="1817"/>
      <c r="G5" s="30"/>
      <c r="H5" s="30"/>
      <c r="I5" s="30"/>
      <c r="J5" s="30"/>
      <c r="K5" s="30"/>
      <c r="L5" s="30"/>
      <c r="M5" s="30"/>
      <c r="N5" s="30"/>
      <c r="O5" s="30"/>
      <c r="P5" s="632"/>
      <c r="Q5" s="632"/>
      <c r="R5" s="632"/>
      <c r="S5" s="632"/>
      <c r="T5" s="1039"/>
      <c r="U5" s="632"/>
      <c r="V5" s="304"/>
      <c r="W5" s="1040"/>
    </row>
    <row r="6" spans="1:24" s="630" customFormat="1" ht="18" customHeight="1" x14ac:dyDescent="0.25">
      <c r="A6" s="304"/>
      <c r="B6" s="304"/>
      <c r="C6" s="1035"/>
      <c r="D6" s="1035"/>
      <c r="E6" s="1035"/>
      <c r="F6" s="1035"/>
      <c r="G6" s="1035"/>
      <c r="H6" s="1035"/>
      <c r="I6" s="632"/>
      <c r="J6" s="632"/>
      <c r="K6" s="1039"/>
      <c r="L6" s="632"/>
      <c r="M6" s="632"/>
      <c r="N6" s="1039"/>
      <c r="O6" s="632"/>
      <c r="P6" s="632"/>
      <c r="Q6" s="632"/>
      <c r="R6" s="632"/>
      <c r="S6" s="632"/>
      <c r="T6" s="1039"/>
      <c r="U6" s="632"/>
      <c r="V6" s="304"/>
      <c r="W6" s="1040"/>
      <c r="X6" s="1041"/>
    </row>
    <row r="7" spans="1:24" s="30" customFormat="1" x14ac:dyDescent="0.2">
      <c r="B7" s="1042" t="s">
        <v>1</v>
      </c>
      <c r="C7" s="1819" t="str">
        <f>+'ANALÍTICA ESTADO SITUACIÓN F'!C7</f>
        <v>208 - Caja de Vivienda Popular – CVP</v>
      </c>
      <c r="D7" s="1820"/>
      <c r="E7" s="1043" t="s">
        <v>787</v>
      </c>
      <c r="F7" s="1044">
        <f>+'ANALÍTICA ESTADO SITUACIÓN F'!H7</f>
        <v>2023</v>
      </c>
      <c r="G7" s="1045"/>
      <c r="I7" s="1045"/>
      <c r="K7" s="1046"/>
      <c r="N7" s="1046"/>
      <c r="T7" s="1046"/>
      <c r="U7" s="1047"/>
      <c r="V7" s="808"/>
      <c r="W7" s="1048"/>
    </row>
    <row r="8" spans="1:24" s="30" customFormat="1" x14ac:dyDescent="0.2">
      <c r="B8" s="1042" t="s">
        <v>893</v>
      </c>
      <c r="C8" s="1821">
        <f>+'ANALÍTICA ESTADO SITUACIÓN F'!C9</f>
        <v>45580</v>
      </c>
      <c r="D8" s="1821"/>
      <c r="E8" s="1043" t="s">
        <v>1784</v>
      </c>
      <c r="F8" s="1044">
        <f>+'ANALÍTICA ESTADO SITUACIÓN F'!C8</f>
        <v>2025</v>
      </c>
      <c r="G8" s="1045"/>
      <c r="I8" s="1045"/>
      <c r="K8" s="1046"/>
      <c r="N8" s="1046"/>
      <c r="T8" s="1046"/>
      <c r="V8" s="808"/>
      <c r="W8" s="1048"/>
    </row>
    <row r="9" spans="1:24" s="30" customFormat="1" x14ac:dyDescent="0.2">
      <c r="B9" s="1042" t="s">
        <v>894</v>
      </c>
      <c r="C9" s="1821">
        <f>+'ANALÍTICA ESTADO SITUACIÓN F'!H9</f>
        <v>45580</v>
      </c>
      <c r="D9" s="1821"/>
      <c r="E9" s="1049" t="s">
        <v>792</v>
      </c>
      <c r="F9" s="1050"/>
      <c r="G9" s="1045"/>
      <c r="I9" s="1045"/>
      <c r="K9" s="1046"/>
      <c r="N9" s="1046"/>
      <c r="T9" s="1046"/>
      <c r="V9" s="808"/>
      <c r="W9" s="1048"/>
    </row>
    <row r="10" spans="1:24" s="30" customFormat="1" ht="16.5" thickBot="1" x14ac:dyDescent="0.25">
      <c r="B10" s="1051"/>
      <c r="C10" s="1052"/>
      <c r="D10" s="1130"/>
      <c r="E10" s="1053"/>
      <c r="F10" s="1053"/>
      <c r="G10" s="1045"/>
      <c r="H10" s="51"/>
      <c r="I10" s="1045"/>
      <c r="K10" s="632"/>
      <c r="L10" s="632"/>
      <c r="M10" s="632"/>
      <c r="N10" s="632"/>
      <c r="O10" s="632"/>
      <c r="P10" s="632"/>
      <c r="Q10" s="632"/>
      <c r="R10" s="632"/>
      <c r="S10" s="632"/>
      <c r="T10" s="632"/>
      <c r="U10" s="632"/>
      <c r="V10" s="304"/>
      <c r="W10" s="1048"/>
    </row>
    <row r="11" spans="1:24" s="30" customFormat="1" ht="33" customHeight="1" thickTop="1" x14ac:dyDescent="0.2">
      <c r="B11" s="1823" t="s">
        <v>895</v>
      </c>
      <c r="C11" s="1036" t="s">
        <v>896</v>
      </c>
      <c r="D11" s="2455" t="s">
        <v>1700</v>
      </c>
      <c r="E11" s="1054" t="str">
        <f>IF(D11="PLANES Y PROYECTOS","",IF(D11="PLAN ESTRATEGICO INSTITUCIONAL o CORPORATIVO o el que haga sus veces",""))</f>
        <v/>
      </c>
      <c r="F11" s="1054"/>
      <c r="G11" s="1054"/>
      <c r="H11" s="1055" t="str">
        <f>IF(D11="PLANES Y PROYECTOS","",IF(D11="PLAN ESTRATEGICO INSTITUCIONAL o CORPORATIVO o el que haga sus veces",'PLAN ESTRATÉGICO'!K13))</f>
        <v/>
      </c>
      <c r="I11" s="1045"/>
      <c r="L11" s="632"/>
      <c r="M11" s="632"/>
      <c r="O11" s="632"/>
      <c r="P11" s="632"/>
      <c r="Q11" s="632"/>
      <c r="R11" s="632"/>
      <c r="S11" s="632"/>
      <c r="T11" s="632"/>
      <c r="U11" s="632"/>
      <c r="V11" s="304"/>
      <c r="W11" s="632"/>
      <c r="X11" s="1048"/>
    </row>
    <row r="12" spans="1:24" s="30" customFormat="1" ht="33" customHeight="1" thickBot="1" x14ac:dyDescent="0.25">
      <c r="B12" s="1823"/>
      <c r="D12" s="2456"/>
      <c r="E12" s="1054" t="str">
        <f>IF(D11="PLANES Y PROYECTOS","",IF(D11="PLAN ESTRATEGICO INSTITUCIONAL o CORPORATIVO o el que haga sus veces",""))</f>
        <v/>
      </c>
      <c r="F12" s="1054"/>
      <c r="G12" s="1054"/>
      <c r="H12" s="1055" t="str">
        <f>IF(D11="PLANES Y PROYECTOS","",IF(D11="PLAN ESTRATEGICO INSTITUCIONAL o CORPORATIVO o el que haga sus veces",'PLAN ESTRATÉGICO'!K14))</f>
        <v/>
      </c>
      <c r="I12" s="1046"/>
      <c r="J12" s="1045"/>
      <c r="M12" s="632"/>
      <c r="P12" s="632"/>
      <c r="Q12" s="632"/>
      <c r="R12" s="632"/>
      <c r="S12" s="632"/>
      <c r="T12" s="632"/>
      <c r="U12" s="632"/>
      <c r="V12" s="304"/>
      <c r="W12" s="632"/>
      <c r="X12" s="1048"/>
    </row>
    <row r="13" spans="1:24" s="30" customFormat="1" ht="16.5" thickTop="1" x14ac:dyDescent="0.2">
      <c r="B13" s="1051"/>
      <c r="C13" s="1052"/>
      <c r="D13" s="1052"/>
      <c r="E13" s="1053"/>
      <c r="F13" s="1053"/>
      <c r="G13" s="1053"/>
      <c r="H13" s="51"/>
      <c r="I13" s="1045"/>
      <c r="K13" s="632"/>
      <c r="L13" s="632"/>
      <c r="M13" s="632"/>
      <c r="N13" s="632"/>
      <c r="O13" s="632"/>
      <c r="P13" s="632"/>
      <c r="Q13" s="632"/>
      <c r="R13" s="632"/>
      <c r="S13" s="632"/>
      <c r="T13" s="632"/>
      <c r="U13" s="632"/>
      <c r="V13" s="304"/>
      <c r="W13" s="1048"/>
    </row>
    <row r="14" spans="1:24" ht="24" customHeight="1" x14ac:dyDescent="0.2">
      <c r="B14" s="2459" t="s">
        <v>1778</v>
      </c>
      <c r="C14" s="2459"/>
      <c r="D14" s="2459"/>
      <c r="E14" s="2459"/>
      <c r="F14" s="2459"/>
      <c r="G14" s="2459"/>
      <c r="H14" s="2459"/>
      <c r="I14" s="2459"/>
      <c r="J14" s="2459"/>
      <c r="K14" s="2459"/>
      <c r="L14" s="2459"/>
      <c r="M14" s="2459"/>
      <c r="N14" s="2459"/>
      <c r="O14" s="2459"/>
      <c r="P14" s="2459"/>
      <c r="Q14" s="2459"/>
      <c r="R14" s="2459"/>
      <c r="S14" s="2459"/>
      <c r="T14" s="2459"/>
      <c r="U14" s="2459"/>
      <c r="V14" s="2459"/>
      <c r="W14" s="2459"/>
    </row>
    <row r="15" spans="1:24" s="1057" customFormat="1" ht="16.5" customHeight="1" x14ac:dyDescent="0.2">
      <c r="B15" s="1058"/>
      <c r="C15" s="1058"/>
      <c r="D15" s="1058"/>
      <c r="E15" s="1058"/>
      <c r="F15" s="1059"/>
      <c r="G15" s="1059"/>
      <c r="H15" s="1045"/>
      <c r="I15" s="1045"/>
      <c r="J15" s="1059"/>
      <c r="K15" s="1059"/>
      <c r="L15" s="1059"/>
      <c r="M15" s="1059"/>
      <c r="N15" s="1059"/>
      <c r="O15" s="1059"/>
      <c r="P15" s="1059"/>
      <c r="Q15" s="1059"/>
      <c r="R15" s="1059"/>
      <c r="S15" s="1059"/>
      <c r="T15" s="1059"/>
      <c r="U15" s="1059"/>
      <c r="V15" s="1059"/>
      <c r="W15" s="1059"/>
    </row>
    <row r="16" spans="1:24" ht="15" customHeight="1" x14ac:dyDescent="0.2">
      <c r="B16" s="1832" t="str">
        <f>IF(D11="PLANES Y PROYECTOS","PLANES Y  PROYECTOS",IF(D11="PLAN ESTRATEGICO INSTITUCIONAL o CORPORATIVO o el que haga sus veces","No Aplica"))</f>
        <v>PLANES Y  PROYECTOS</v>
      </c>
      <c r="C16" s="1832" t="str">
        <f>IF(D11="PLANES Y PROYECTOS","Nombre del Programa ",IF(D11="PLAN ESTRATEGICO INSTITUCIONAL o CORPORATIVO o el que haga sus veces","No Aplica"))</f>
        <v xml:space="preserve">Nombre del Programa </v>
      </c>
      <c r="D16" s="1852" t="str">
        <f>IF(D11="PLANES Y PROYECTOS","Proyecto ",IF(D11="PLAN ESTRATEGICO INSTITUCIONAL o CORPORATIVO o el que haga sus veces","No Aplica"))</f>
        <v xml:space="preserve">Proyecto </v>
      </c>
      <c r="E16" s="1832" t="str">
        <f>IF(D11="PLANES Y PROYECTOS","Meta producto del PDT (Meta física) ",IF(D11="PLAN ESTRATEGICO INSTITUCIONAL o CORPORATIVO o el que haga sus veces","No Aplica"))</f>
        <v xml:space="preserve">Meta producto del PDT (Meta física) </v>
      </c>
      <c r="F16" s="1832" t="s">
        <v>1750</v>
      </c>
      <c r="G16" s="1832" t="s">
        <v>1760</v>
      </c>
      <c r="H16" s="1834" t="s">
        <v>1753</v>
      </c>
      <c r="I16" s="1818">
        <f>IF(D11="PLANES Y PROYECTOS",AVERAGEIF(H25:H450,"&gt;0",J25:J450)/100,"No Aplica")</f>
        <v>0.83174274255156599</v>
      </c>
      <c r="J16" s="1818"/>
      <c r="K16" s="1835" t="s">
        <v>1753</v>
      </c>
      <c r="L16" s="1818">
        <f>IF(D11="PLANES Y PROYECTOS",+AVERAGE(L21:V21),"No Aplica")</f>
        <v>0.85118442279515605</v>
      </c>
      <c r="M16" s="1818"/>
      <c r="N16" s="632"/>
      <c r="O16" s="1822" t="s">
        <v>1761</v>
      </c>
      <c r="P16" s="1822"/>
      <c r="Q16" s="1822"/>
      <c r="R16" s="632"/>
      <c r="S16" s="1822" t="s">
        <v>1772</v>
      </c>
      <c r="T16" s="1822"/>
      <c r="U16" s="1822"/>
      <c r="V16" s="1822"/>
      <c r="W16" s="1056"/>
    </row>
    <row r="17" spans="2:49" s="1057" customFormat="1" ht="15.75" customHeight="1" x14ac:dyDescent="0.2">
      <c r="B17" s="1832"/>
      <c r="C17" s="1832"/>
      <c r="D17" s="1852"/>
      <c r="E17" s="1832"/>
      <c r="F17" s="1832"/>
      <c r="G17" s="1832"/>
      <c r="H17" s="1834"/>
      <c r="I17" s="1818"/>
      <c r="J17" s="1818"/>
      <c r="K17" s="1837"/>
      <c r="L17" s="1818"/>
      <c r="M17" s="1818"/>
      <c r="N17" s="632"/>
      <c r="O17" s="1137" t="s">
        <v>1762</v>
      </c>
      <c r="P17" s="1138" t="s">
        <v>1766</v>
      </c>
      <c r="Q17" s="1138" t="s">
        <v>1767</v>
      </c>
      <c r="R17" s="632"/>
      <c r="S17" s="1135" t="s">
        <v>1768</v>
      </c>
      <c r="T17" s="1135" t="s">
        <v>1770</v>
      </c>
      <c r="U17" s="1135" t="s">
        <v>1769</v>
      </c>
      <c r="V17" s="1135" t="s">
        <v>1771</v>
      </c>
    </row>
    <row r="18" spans="2:49" s="1057" customFormat="1" ht="17.25" customHeight="1" x14ac:dyDescent="0.2">
      <c r="B18" s="1832"/>
      <c r="C18" s="1832"/>
      <c r="D18" s="1852"/>
      <c r="E18" s="1832"/>
      <c r="F18" s="1832"/>
      <c r="G18" s="1832"/>
      <c r="H18" s="1060" t="s">
        <v>1759</v>
      </c>
      <c r="I18" s="1818" t="str">
        <f>IF(I16="No Aplica","No Aplica",(IF(I16&gt;=75%,"EFICAZ","INEFICAZ")))</f>
        <v>EFICAZ</v>
      </c>
      <c r="J18" s="1818"/>
      <c r="K18" s="1060" t="s">
        <v>1759</v>
      </c>
      <c r="L18" s="1818" t="str">
        <f>IF(L16="No Aplica","No Aplica",(IF(L16&gt;=75%,"EFICIENTE","INEFICIENTE")))</f>
        <v>EFICIENTE</v>
      </c>
      <c r="M18" s="1818"/>
      <c r="N18" s="632"/>
      <c r="O18" s="1139" t="s">
        <v>1764</v>
      </c>
      <c r="P18" s="1140" t="str">
        <f>IFERROR(AVERAGEIF($G$25:$G$450,"*Si*",J25:J450),"No Auditado")</f>
        <v>No Auditado</v>
      </c>
      <c r="Q18" s="1141" t="str">
        <f>IF(P18="No Auditado","No Auditado",(IF(P18&gt;=75,"EFICAZ","INEFICAZ")))</f>
        <v>No Auditado</v>
      </c>
      <c r="R18" s="783"/>
      <c r="S18" s="1136">
        <f>IFERROR(AVERAGEIF($G$25:$G$450,"*Si*",M25:M450),"No Auditado")</f>
        <v>0</v>
      </c>
      <c r="T18" s="1136">
        <f>IFERROR(AVERAGEIF($G$25:$G$450,"*Si*",P25:P450),"No Auditado")</f>
        <v>80</v>
      </c>
      <c r="U18" s="1136">
        <f>IFERROR(AVERAGEIF($G$25:$G$450,"*Si*",S25:S450),"No Auditado")</f>
        <v>100</v>
      </c>
      <c r="V18" s="1136">
        <f>IFERROR(AVERAGEIF($G$25:$G$450,"*Si*",V25:V450),"No Auditado")</f>
        <v>0</v>
      </c>
    </row>
    <row r="19" spans="2:49" s="1057" customFormat="1" ht="14.25" customHeight="1" x14ac:dyDescent="0.2">
      <c r="B19" s="1832"/>
      <c r="C19" s="1832"/>
      <c r="D19" s="1852"/>
      <c r="E19" s="1832"/>
      <c r="F19" s="1832"/>
      <c r="G19" s="1832"/>
      <c r="H19" s="1835" t="s">
        <v>1758</v>
      </c>
      <c r="I19" s="1838" t="str">
        <f>IF(D11="PLANES Y PROYECTOS","EFICACIA",IF(D11="PLAN ESTRATEGICO INSTITUCIONAL o CORPORATIVO o el que haga sus veces","No Aplica"))</f>
        <v>EFICACIA</v>
      </c>
      <c r="J19" s="1839"/>
      <c r="K19" s="1844" t="s">
        <v>1758</v>
      </c>
      <c r="L19" s="1833" t="str">
        <f>IF(D11="PLANES Y PROYECTOS","EFICIENCIA",IF(D11="PLAN ESTRATEGICO INSTITUCIONAL o CORPORATIVO o el que haga sus veces","No Aplica"))</f>
        <v>EFICIENCIA</v>
      </c>
      <c r="M19" s="1833"/>
      <c r="N19" s="632"/>
      <c r="O19" s="1139" t="s">
        <v>1765</v>
      </c>
      <c r="P19" s="1140">
        <f>IFERROR(AVERAGE($S$18:$V$18),"No Auditado")</f>
        <v>45</v>
      </c>
      <c r="Q19" s="1141" t="str">
        <f>IF(P19="No Auditado","No Auditado",(IF(P19&gt;=75,"EFICIENTE","INEFICIENTE")))</f>
        <v>INEFICIENTE</v>
      </c>
      <c r="R19" s="632"/>
      <c r="S19" s="632"/>
      <c r="T19" s="632"/>
      <c r="U19" s="632"/>
      <c r="V19" s="304"/>
    </row>
    <row r="20" spans="2:49" s="1061" customFormat="1" ht="14.25" customHeight="1" x14ac:dyDescent="0.25">
      <c r="B20" s="1832"/>
      <c r="C20" s="1832"/>
      <c r="D20" s="1852"/>
      <c r="E20" s="1832"/>
      <c r="F20" s="1832"/>
      <c r="G20" s="1832"/>
      <c r="H20" s="1836"/>
      <c r="I20" s="1840"/>
      <c r="J20" s="1841"/>
      <c r="K20" s="1845"/>
      <c r="L20" s="1833"/>
      <c r="M20" s="1833"/>
      <c r="N20" s="632"/>
      <c r="O20" s="632"/>
      <c r="P20" s="632"/>
      <c r="Q20" s="632"/>
      <c r="R20" s="632"/>
      <c r="S20" s="632"/>
      <c r="T20" s="632"/>
      <c r="U20" s="632"/>
      <c r="V20" s="304"/>
    </row>
    <row r="21" spans="2:49" s="1061" customFormat="1" ht="30" customHeight="1" x14ac:dyDescent="0.25">
      <c r="B21" s="1832"/>
      <c r="C21" s="1832"/>
      <c r="D21" s="1852"/>
      <c r="E21" s="1832"/>
      <c r="F21" s="1832"/>
      <c r="G21" s="1832"/>
      <c r="H21" s="1837"/>
      <c r="I21" s="1842"/>
      <c r="J21" s="1843"/>
      <c r="K21" s="1142" t="s">
        <v>1754</v>
      </c>
      <c r="L21" s="1858">
        <f>IF(D11="PLANES Y PROYECTOS",AVERAGE(M25:M450)/100,"No Aplica")</f>
        <v>0.85125081221572441</v>
      </c>
      <c r="M21" s="1858"/>
      <c r="N21" s="1143" t="s">
        <v>1755</v>
      </c>
      <c r="O21" s="1855">
        <f>IF(D11="PLANES Y PROYECTOS",AVERAGE(P25:P450)/100,"No Aplica")</f>
        <v>0.965448343079922</v>
      </c>
      <c r="P21" s="1856"/>
      <c r="Q21" s="1143" t="s">
        <v>1756</v>
      </c>
      <c r="R21" s="1855">
        <f>IF(D11="PLANES Y PROYECTOS",AVERAGE(S25:S450)/100,"No Aplica")</f>
        <v>0.93373015873015874</v>
      </c>
      <c r="S21" s="1856"/>
      <c r="T21" s="1143" t="s">
        <v>1757</v>
      </c>
      <c r="U21" s="1855">
        <f>IF(D11="PLANES Y PROYECTOS",AVERAGE(V25:V450)/100,"No Aplica")</f>
        <v>0.65430837715481915</v>
      </c>
      <c r="V21" s="1856"/>
    </row>
    <row r="22" spans="2:49" s="1062" customFormat="1" ht="30.75" customHeight="1" x14ac:dyDescent="0.25">
      <c r="B22" s="1832"/>
      <c r="C22" s="1832"/>
      <c r="D22" s="1852"/>
      <c r="E22" s="1832"/>
      <c r="F22" s="1832"/>
      <c r="G22" s="1832"/>
      <c r="H22" s="1857" t="str">
        <f>IF(D11="PLANES Y PROYECTOS","Cumplimiento de Metas",IF(D11="PLAN ESTRATEGICO INSTITUCIONAL o CORPORATIVO o el que haga sus veces","No Aplica"))</f>
        <v>Cumplimiento de Metas</v>
      </c>
      <c r="I22" s="1827"/>
      <c r="J22" s="1848" t="str">
        <f>IF(D11="PLANES Y PROYECTOS","Resultado %",IF(D11="PLAN ESTRATEGICO INSTITUCIONAL o CORPORATIVO o el que haga sus veces","No Aplica"))</f>
        <v>Resultado %</v>
      </c>
      <c r="K22" s="1826" t="s">
        <v>1752</v>
      </c>
      <c r="L22" s="1827"/>
      <c r="M22" s="1824" t="s">
        <v>1751</v>
      </c>
      <c r="N22" s="1826" t="str">
        <f>IF(D11="PLANES Y PROYECTOS","Cumplimiento Ejecución Presupuestal",IF(D11="PLAN ESTRATEGICO INSTITUCIONAL o CORPORATIVO o el que haga sus veces","No Aplica"))</f>
        <v>Cumplimiento Ejecución Presupuestal</v>
      </c>
      <c r="O22" s="1827"/>
      <c r="P22" s="1824" t="s">
        <v>1751</v>
      </c>
      <c r="Q22" s="1827" t="str">
        <f>IF(D11="PLANES Y PROYECTOS","Cumplimiento Cronograma",IF(D11="PLAN ESTRATEGICO INSTITUCIONAL o CORPORATIVO o el que haga sus veces","No Aplica"))</f>
        <v>Cumplimiento Cronograma</v>
      </c>
      <c r="R22" s="1827"/>
      <c r="S22" s="1824" t="str">
        <f>IF(D11="PLANES Y PROYECTOS","Resultado %",IF(D11="PLAN ESTRATEGICO INSTITUCIONAL o CORPORATIVO o el que haga sus veces","No Aplica"))</f>
        <v>Resultado %</v>
      </c>
      <c r="T22" s="1827" t="str">
        <f>IF(D11="PLANES Y PROYECTOS","Cumplimiento Giros Ejecutados",IF(D11="PLAN ESTRATEGICO INSTITUCIONAL o CORPORATIVO o el que haga sus veces","No Aplica"))</f>
        <v>Cumplimiento Giros Ejecutados</v>
      </c>
      <c r="U22" s="1827"/>
      <c r="V22" s="1853" t="str">
        <f>IF(D11="PLANES Y PROYECTOS","Resultado %",IF(D11="PLAN ESTRATEGICO INSTITUCIONAL o CORPORATIVO o el que haga sus veces","No Aplica"))</f>
        <v>Resultado %</v>
      </c>
    </row>
    <row r="23" spans="2:49" s="1062" customFormat="1" ht="39.75" customHeight="1" x14ac:dyDescent="0.25">
      <c r="B23" s="1832"/>
      <c r="C23" s="1832"/>
      <c r="D23" s="1852"/>
      <c r="E23" s="1832"/>
      <c r="F23" s="1832"/>
      <c r="G23" s="1832"/>
      <c r="H23" s="1828" t="str">
        <f>IF(D11="PLANES Y PROYECTOS","Meta fisica programada vigencia evaluada",IF(D11="PLAN ESTRATEGICO INSTITUCIONAL o CORPORATIVO o el que haga sus veces","No Aplica"))</f>
        <v>Meta fisica programada vigencia evaluada</v>
      </c>
      <c r="I23" s="1828" t="str">
        <f>IF(D11="PLANES Y PROYECTOS","Meta fisica programada cumplida",IF(D11="PLAN ESTRATEGICO INSTITUCIONAL o CORPORATIVO o el que haga sus veces","No Aplica"))</f>
        <v>Meta fisica programada cumplida</v>
      </c>
      <c r="J23" s="1848"/>
      <c r="K23" s="1828" t="s">
        <v>1856</v>
      </c>
      <c r="L23" s="1828" t="s">
        <v>1857</v>
      </c>
      <c r="M23" s="1824"/>
      <c r="N23" s="1846" t="str">
        <f>IF(D11="PLANES Y PROYECTOS","Presupuesto programado",IF(D11="PLAN ESTRATEGICO INSTITUCIONAL o CORPORATIVO o el que haga sus veces","No Aplica"))</f>
        <v>Presupuesto programado</v>
      </c>
      <c r="O23" s="1846" t="str">
        <f>IF(D11="PLANES Y PROYECTOS","Presupuesto Ejecutado",IF(D11="PLAN ESTRATEGICO INSTITUCIONAL o CORPORATIVO o el que haga sus veces","No Aplica"))</f>
        <v>Presupuesto Ejecutado</v>
      </c>
      <c r="P23" s="1824"/>
      <c r="Q23" s="1846" t="str">
        <f>IF(D11="PLANES Y PROYECTOS","Plazo de ejecución en días calendario ",IF(D11="PLAN ESTRATEGICO INSTITUCIONAL o CORPORATIVO o el que haga sus veces","No Aplica"))</f>
        <v xml:space="preserve">Plazo de ejecución en días calendario </v>
      </c>
      <c r="R23" s="1846" t="str">
        <f>IF(D11="PLANES Y PROYECTOS","Días calendario de ejecución",IF(D11="PLAN ESTRATEGICO INSTITUCIONAL o CORPORATIVO o el que haga sus veces","No Aplica"))</f>
        <v>Días calendario de ejecución</v>
      </c>
      <c r="S23" s="1824"/>
      <c r="T23" s="1846" t="str">
        <f>IF(D11="PLANES Y PROYECTOS","Presupuesto Ejecutado",IF(D11="PLAN ESTRATEGICO INSTITUCIONAL o CORPORATIVO o el que haga sus veces","No Aplica"))</f>
        <v>Presupuesto Ejecutado</v>
      </c>
      <c r="U23" s="1846" t="str">
        <f>IF(D11="PLANES Y PROYECTOS","Giros Ejecutados",IF(D11="PLAN ESTRATEGICO INSTITUCIONAL o CORPORATIVO o el que haga sus veces","No Aplica"))</f>
        <v>Giros Ejecutados</v>
      </c>
      <c r="V23" s="1853"/>
      <c r="W23" s="1063"/>
    </row>
    <row r="24" spans="2:49" s="1062" customFormat="1" ht="17.25" customHeight="1" x14ac:dyDescent="0.25">
      <c r="B24" s="1832"/>
      <c r="C24" s="1832"/>
      <c r="D24" s="1852"/>
      <c r="E24" s="1832"/>
      <c r="F24" s="1832"/>
      <c r="G24" s="1832"/>
      <c r="H24" s="1829"/>
      <c r="I24" s="1829"/>
      <c r="J24" s="1849"/>
      <c r="K24" s="1829"/>
      <c r="L24" s="1829"/>
      <c r="M24" s="1825"/>
      <c r="N24" s="1847"/>
      <c r="O24" s="1847"/>
      <c r="P24" s="1825"/>
      <c r="Q24" s="1847"/>
      <c r="R24" s="1847"/>
      <c r="S24" s="1825"/>
      <c r="T24" s="1847"/>
      <c r="U24" s="1847"/>
      <c r="V24" s="1854"/>
    </row>
    <row r="25" spans="2:49" x14ac:dyDescent="0.2">
      <c r="B25" s="1064" t="s">
        <v>897</v>
      </c>
      <c r="C25" s="2457" t="s">
        <v>898</v>
      </c>
      <c r="D25" s="1066" t="s">
        <v>899</v>
      </c>
      <c r="E25" s="2458" t="s">
        <v>900</v>
      </c>
      <c r="F25" s="1066" t="s">
        <v>1774</v>
      </c>
      <c r="G25" s="1066" t="s">
        <v>1740</v>
      </c>
      <c r="H25" s="1067">
        <v>5</v>
      </c>
      <c r="I25" s="1067">
        <v>7</v>
      </c>
      <c r="J25" s="1128" t="str">
        <f>IF(AND(H25=0,I25=0),"",IF(I25&lt;&gt;0,IF(I25&gt;H25,"100",I25/H25*100),0))</f>
        <v>100</v>
      </c>
      <c r="K25" s="1068">
        <v>5000000</v>
      </c>
      <c r="L25" s="1068">
        <v>0</v>
      </c>
      <c r="M25" s="1129">
        <f>IF(AND(K25=0,L25=0),"",IF(L25&lt;&gt;0,IF(L25&gt;K25,"100",L25/K25*100),0))</f>
        <v>0</v>
      </c>
      <c r="N25" s="1068">
        <v>5000000</v>
      </c>
      <c r="O25" s="1068">
        <v>4000000</v>
      </c>
      <c r="P25" s="1129">
        <f>IF(AND(N25=0,O25=0),"",IF(O25&lt;&gt;0,IF(O25&gt;N25,"100",O25/N25*100),0))</f>
        <v>80</v>
      </c>
      <c r="Q25" s="1069">
        <v>100</v>
      </c>
      <c r="R25" s="1069">
        <v>100</v>
      </c>
      <c r="S25" s="1129">
        <f>IF(AND(Q25=0,R25=0),"",IF(R25&lt;&gt;0,IF(R25&gt;Q25,"100",R25/Q25*100),0))</f>
        <v>100</v>
      </c>
      <c r="T25" s="1068">
        <f>+O25</f>
        <v>4000000</v>
      </c>
      <c r="U25" s="1068">
        <v>0</v>
      </c>
      <c r="V25" s="1267">
        <f>IF(AND(T25=0,U25=0),"",IF(U25&lt;&gt;0,IF(U25&gt;T25,"100",U25/T25*100),0))</f>
        <v>0</v>
      </c>
      <c r="W25" s="1062"/>
      <c r="X25" s="1062"/>
      <c r="Y25" s="1062"/>
      <c r="Z25" s="1062"/>
      <c r="AA25" s="1062"/>
      <c r="AB25" s="1062"/>
      <c r="AC25" s="1062"/>
      <c r="AD25" s="1062"/>
      <c r="AE25" s="1062"/>
      <c r="AF25" s="1062"/>
      <c r="AG25" s="1062"/>
      <c r="AH25" s="1062"/>
      <c r="AI25" s="1062"/>
      <c r="AJ25" s="1062"/>
      <c r="AK25" s="1062"/>
      <c r="AL25" s="1062"/>
      <c r="AM25" s="1062"/>
      <c r="AN25" s="1062"/>
      <c r="AO25" s="1062"/>
      <c r="AP25" s="1062"/>
      <c r="AQ25" s="1062"/>
      <c r="AR25" s="1062"/>
      <c r="AS25" s="1062"/>
      <c r="AT25" s="1062"/>
      <c r="AU25" s="1062"/>
      <c r="AV25" s="1062"/>
      <c r="AW25" s="1062"/>
    </row>
    <row r="26" spans="2:49" x14ac:dyDescent="0.2">
      <c r="B26" s="1064" t="s">
        <v>901</v>
      </c>
      <c r="C26" s="1065" t="s">
        <v>898</v>
      </c>
      <c r="D26" s="1066" t="s">
        <v>899</v>
      </c>
      <c r="E26" s="1066" t="s">
        <v>902</v>
      </c>
      <c r="F26" s="1066"/>
      <c r="G26" s="1066" t="s">
        <v>1741</v>
      </c>
      <c r="H26" s="1067">
        <v>3927</v>
      </c>
      <c r="I26" s="1067">
        <v>3000</v>
      </c>
      <c r="J26" s="1128">
        <f t="shared" ref="J26:J89" si="0">IF(AND(H26=0,I26=0),"",IF(I26&lt;&gt;0,IF(I26&gt;H26,"100",I26/H26*100),0))</f>
        <v>76.39419404125286</v>
      </c>
      <c r="K26" s="1068">
        <v>50000000</v>
      </c>
      <c r="L26" s="1068">
        <v>50000000</v>
      </c>
      <c r="M26" s="1129">
        <f t="shared" ref="M26:M89" si="1">IF(AND(K26=0,L26=0),"",IF(L26&lt;&gt;0,IF(L26&gt;K26,"100",L26/K26*100),0))</f>
        <v>100</v>
      </c>
      <c r="N26" s="1068">
        <v>50000000</v>
      </c>
      <c r="O26" s="1068">
        <v>50000000</v>
      </c>
      <c r="P26" s="1129">
        <f t="shared" ref="P26:P89" si="2">IF(AND(N26=0,O26=0),"",IF(O26&lt;&gt;0,IF(O26&gt;N26,"100",O26/N26*100),0))</f>
        <v>100</v>
      </c>
      <c r="Q26" s="1069">
        <v>50</v>
      </c>
      <c r="R26" s="1069">
        <v>50</v>
      </c>
      <c r="S26" s="1129">
        <f t="shared" ref="S26:S89" si="3">IF(AND(Q26=0,R26=0),"",IF(R26&lt;&gt;0,IF(R26&gt;Q26,"100",R26/Q26*100),0))</f>
        <v>100</v>
      </c>
      <c r="T26" s="1068">
        <f t="shared" ref="T26:T33" si="4">+O26</f>
        <v>50000000</v>
      </c>
      <c r="U26" s="1068">
        <v>0</v>
      </c>
      <c r="V26" s="1267">
        <f t="shared" ref="V26:V89" si="5">IF(AND(T26=0,U26=0),"",IF(U26&lt;&gt;0,IF(U26&gt;T26,"100",U26/T26*100),0))</f>
        <v>0</v>
      </c>
      <c r="W26" s="1070"/>
      <c r="X26" s="1062"/>
      <c r="Y26" s="1062"/>
      <c r="Z26" s="1062"/>
      <c r="AA26" s="1062"/>
      <c r="AB26" s="1062"/>
      <c r="AC26" s="1062"/>
      <c r="AD26" s="1062"/>
      <c r="AE26" s="1062"/>
      <c r="AF26" s="1062"/>
      <c r="AG26" s="1062"/>
      <c r="AH26" s="1062"/>
      <c r="AI26" s="1062"/>
      <c r="AJ26" s="1062"/>
      <c r="AK26" s="1062"/>
      <c r="AL26" s="1062"/>
      <c r="AM26" s="1062"/>
      <c r="AN26" s="1062"/>
      <c r="AO26" s="1062"/>
      <c r="AP26" s="1062"/>
      <c r="AQ26" s="1062"/>
      <c r="AR26" s="1062"/>
      <c r="AS26" s="1062"/>
      <c r="AT26" s="1062"/>
      <c r="AU26" s="1062"/>
      <c r="AV26" s="1062"/>
      <c r="AW26" s="1062"/>
    </row>
    <row r="27" spans="2:49" x14ac:dyDescent="0.2">
      <c r="B27" s="1064" t="s">
        <v>903</v>
      </c>
      <c r="C27" s="1065" t="s">
        <v>898</v>
      </c>
      <c r="D27" s="1066" t="s">
        <v>899</v>
      </c>
      <c r="E27" s="1066" t="s">
        <v>904</v>
      </c>
      <c r="F27" s="1066"/>
      <c r="G27" s="1066" t="s">
        <v>1741</v>
      </c>
      <c r="H27" s="1067">
        <v>1000</v>
      </c>
      <c r="I27" s="1067">
        <v>540</v>
      </c>
      <c r="J27" s="1128">
        <f t="shared" si="0"/>
        <v>54</v>
      </c>
      <c r="K27" s="1068">
        <v>60000000</v>
      </c>
      <c r="L27" s="1068">
        <v>45000000</v>
      </c>
      <c r="M27" s="1129">
        <f t="shared" si="1"/>
        <v>75</v>
      </c>
      <c r="N27" s="1068">
        <v>60000000</v>
      </c>
      <c r="O27" s="1068">
        <v>60000000</v>
      </c>
      <c r="P27" s="1129">
        <f t="shared" si="2"/>
        <v>100</v>
      </c>
      <c r="Q27" s="1069">
        <v>52</v>
      </c>
      <c r="R27" s="1069">
        <v>52</v>
      </c>
      <c r="S27" s="1129">
        <f t="shared" si="3"/>
        <v>100</v>
      </c>
      <c r="T27" s="1068">
        <f t="shared" si="4"/>
        <v>60000000</v>
      </c>
      <c r="U27" s="1068">
        <v>55000000</v>
      </c>
      <c r="V27" s="1267">
        <f t="shared" si="5"/>
        <v>91.666666666666657</v>
      </c>
      <c r="W27" s="1062"/>
      <c r="X27" s="1062"/>
      <c r="Y27" s="1062"/>
      <c r="Z27" s="1062"/>
      <c r="AA27" s="1062"/>
      <c r="AB27" s="1062"/>
      <c r="AC27" s="1062"/>
      <c r="AD27" s="1062"/>
      <c r="AE27" s="1062"/>
      <c r="AF27" s="1062"/>
      <c r="AG27" s="1062"/>
      <c r="AH27" s="1062"/>
      <c r="AI27" s="1062"/>
      <c r="AJ27" s="1062"/>
      <c r="AK27" s="1062"/>
      <c r="AL27" s="1062"/>
      <c r="AM27" s="1062"/>
      <c r="AN27" s="1062"/>
      <c r="AO27" s="1062"/>
      <c r="AP27" s="1062"/>
      <c r="AQ27" s="1062"/>
      <c r="AR27" s="1062"/>
      <c r="AS27" s="1062"/>
      <c r="AT27" s="1062"/>
      <c r="AU27" s="1062"/>
      <c r="AV27" s="1062"/>
      <c r="AW27" s="1062"/>
    </row>
    <row r="28" spans="2:49" x14ac:dyDescent="0.2">
      <c r="B28" s="1064" t="s">
        <v>903</v>
      </c>
      <c r="C28" s="1065" t="s">
        <v>898</v>
      </c>
      <c r="D28" s="1066" t="s">
        <v>905</v>
      </c>
      <c r="E28" s="1066" t="s">
        <v>900</v>
      </c>
      <c r="F28" s="1066"/>
      <c r="G28" s="1066" t="s">
        <v>1741</v>
      </c>
      <c r="H28" s="1067">
        <v>50000</v>
      </c>
      <c r="I28" s="1067">
        <v>50000</v>
      </c>
      <c r="J28" s="1128">
        <f t="shared" si="0"/>
        <v>100</v>
      </c>
      <c r="K28" s="1068">
        <v>25000000</v>
      </c>
      <c r="L28" s="1068">
        <v>25000000</v>
      </c>
      <c r="M28" s="1129">
        <f t="shared" si="1"/>
        <v>100</v>
      </c>
      <c r="N28" s="1068">
        <v>25000000</v>
      </c>
      <c r="O28" s="1068">
        <v>25000000</v>
      </c>
      <c r="P28" s="1129">
        <f t="shared" si="2"/>
        <v>100</v>
      </c>
      <c r="Q28" s="1069">
        <v>100</v>
      </c>
      <c r="R28" s="1069">
        <v>80</v>
      </c>
      <c r="S28" s="1129">
        <f t="shared" si="3"/>
        <v>80</v>
      </c>
      <c r="T28" s="1068">
        <f t="shared" si="4"/>
        <v>25000000</v>
      </c>
      <c r="U28" s="1068">
        <v>25000000</v>
      </c>
      <c r="V28" s="1267">
        <f t="shared" si="5"/>
        <v>100</v>
      </c>
      <c r="W28" s="1062"/>
      <c r="X28" s="1062"/>
      <c r="Y28" s="1062"/>
      <c r="Z28" s="1062"/>
      <c r="AA28" s="1062"/>
      <c r="AB28" s="1062"/>
      <c r="AC28" s="1062"/>
      <c r="AD28" s="1062"/>
      <c r="AE28" s="1062"/>
      <c r="AF28" s="1062"/>
      <c r="AG28" s="1062"/>
      <c r="AH28" s="1062"/>
      <c r="AI28" s="1062"/>
      <c r="AJ28" s="1062"/>
      <c r="AK28" s="1062"/>
      <c r="AL28" s="1062"/>
      <c r="AM28" s="1062"/>
      <c r="AN28" s="1062"/>
      <c r="AO28" s="1062"/>
      <c r="AP28" s="1062"/>
      <c r="AQ28" s="1062"/>
      <c r="AR28" s="1062"/>
      <c r="AS28" s="1062"/>
      <c r="AT28" s="1062"/>
      <c r="AU28" s="1062"/>
      <c r="AV28" s="1062"/>
      <c r="AW28" s="1062"/>
    </row>
    <row r="29" spans="2:49" x14ac:dyDescent="0.2">
      <c r="B29" s="1064" t="s">
        <v>903</v>
      </c>
      <c r="C29" s="1071" t="s">
        <v>906</v>
      </c>
      <c r="D29" s="1066" t="s">
        <v>905</v>
      </c>
      <c r="E29" s="1072" t="s">
        <v>907</v>
      </c>
      <c r="F29" s="1072"/>
      <c r="G29" s="1066" t="s">
        <v>1741</v>
      </c>
      <c r="H29" s="1067">
        <v>25000</v>
      </c>
      <c r="I29" s="1067">
        <v>25000</v>
      </c>
      <c r="J29" s="1128">
        <f t="shared" si="0"/>
        <v>100</v>
      </c>
      <c r="K29" s="1068">
        <v>45000000</v>
      </c>
      <c r="L29" s="1068">
        <v>45000000</v>
      </c>
      <c r="M29" s="1129">
        <f t="shared" si="1"/>
        <v>100</v>
      </c>
      <c r="N29" s="1068">
        <v>45000000</v>
      </c>
      <c r="O29" s="1068">
        <v>45000000</v>
      </c>
      <c r="P29" s="1129">
        <f t="shared" si="2"/>
        <v>100</v>
      </c>
      <c r="Q29" s="1069">
        <v>25</v>
      </c>
      <c r="R29" s="1069">
        <v>20</v>
      </c>
      <c r="S29" s="1129">
        <f t="shared" si="3"/>
        <v>80</v>
      </c>
      <c r="T29" s="1068">
        <f t="shared" si="4"/>
        <v>45000000</v>
      </c>
      <c r="U29" s="1068">
        <v>45000000</v>
      </c>
      <c r="V29" s="1267">
        <f t="shared" si="5"/>
        <v>100</v>
      </c>
      <c r="W29" s="1062"/>
      <c r="X29" s="1062"/>
      <c r="Y29" s="1062"/>
      <c r="Z29" s="1062"/>
      <c r="AA29" s="1062"/>
      <c r="AB29" s="1062"/>
      <c r="AC29" s="1062"/>
      <c r="AD29" s="1062"/>
      <c r="AE29" s="1062"/>
      <c r="AF29" s="1062"/>
      <c r="AG29" s="1062"/>
      <c r="AH29" s="1062"/>
      <c r="AI29" s="1062"/>
      <c r="AJ29" s="1062"/>
      <c r="AK29" s="1062"/>
      <c r="AL29" s="1062"/>
      <c r="AM29" s="1062"/>
      <c r="AN29" s="1062"/>
      <c r="AO29" s="1062"/>
      <c r="AP29" s="1062"/>
      <c r="AQ29" s="1062"/>
      <c r="AR29" s="1062"/>
      <c r="AS29" s="1062"/>
      <c r="AT29" s="1062"/>
      <c r="AU29" s="1062"/>
      <c r="AV29" s="1062"/>
      <c r="AW29" s="1062"/>
    </row>
    <row r="30" spans="2:49" x14ac:dyDescent="0.2">
      <c r="B30" s="1064" t="s">
        <v>903</v>
      </c>
      <c r="C30" s="1071" t="s">
        <v>906</v>
      </c>
      <c r="D30" s="1072" t="s">
        <v>908</v>
      </c>
      <c r="E30" s="1072" t="s">
        <v>902</v>
      </c>
      <c r="F30" s="1072"/>
      <c r="G30" s="1066" t="s">
        <v>1741</v>
      </c>
      <c r="H30" s="1067">
        <v>10000</v>
      </c>
      <c r="I30" s="1067">
        <v>8000</v>
      </c>
      <c r="J30" s="1128">
        <f t="shared" si="0"/>
        <v>80</v>
      </c>
      <c r="K30" s="1068">
        <v>80000000</v>
      </c>
      <c r="L30" s="1068">
        <v>78000000</v>
      </c>
      <c r="M30" s="1129">
        <f t="shared" si="1"/>
        <v>97.5</v>
      </c>
      <c r="N30" s="1068">
        <v>80000000</v>
      </c>
      <c r="O30" s="1068">
        <v>78000000</v>
      </c>
      <c r="P30" s="1129">
        <f t="shared" si="2"/>
        <v>97.5</v>
      </c>
      <c r="Q30" s="1069">
        <v>40</v>
      </c>
      <c r="R30" s="1069">
        <v>40</v>
      </c>
      <c r="S30" s="1129">
        <f t="shared" si="3"/>
        <v>100</v>
      </c>
      <c r="T30" s="1068">
        <f t="shared" si="4"/>
        <v>78000000</v>
      </c>
      <c r="U30" s="1068">
        <v>65000000</v>
      </c>
      <c r="V30" s="1267">
        <f t="shared" si="5"/>
        <v>83.333333333333343</v>
      </c>
      <c r="W30" s="1062"/>
      <c r="X30" s="1062"/>
      <c r="Y30" s="1062"/>
      <c r="Z30" s="1062"/>
      <c r="AA30" s="1062"/>
      <c r="AB30" s="1062"/>
      <c r="AC30" s="1062"/>
      <c r="AD30" s="1062"/>
      <c r="AE30" s="1062"/>
      <c r="AF30" s="1062"/>
      <c r="AG30" s="1062"/>
      <c r="AH30" s="1062"/>
      <c r="AI30" s="1062"/>
      <c r="AJ30" s="1062"/>
      <c r="AK30" s="1062"/>
      <c r="AL30" s="1062"/>
      <c r="AM30" s="1062"/>
      <c r="AN30" s="1062"/>
      <c r="AO30" s="1062"/>
      <c r="AP30" s="1062"/>
      <c r="AQ30" s="1062"/>
      <c r="AR30" s="1062"/>
      <c r="AS30" s="1062"/>
      <c r="AT30" s="1062"/>
      <c r="AU30" s="1062"/>
      <c r="AV30" s="1062"/>
      <c r="AW30" s="1062"/>
    </row>
    <row r="31" spans="2:49" x14ac:dyDescent="0.2">
      <c r="B31" s="1073" t="s">
        <v>909</v>
      </c>
      <c r="C31" s="1074" t="s">
        <v>898</v>
      </c>
      <c r="D31" s="1075" t="s">
        <v>910</v>
      </c>
      <c r="E31" s="1075" t="s">
        <v>900</v>
      </c>
      <c r="F31" s="1075"/>
      <c r="G31" s="1066" t="s">
        <v>1741</v>
      </c>
      <c r="H31" s="1067">
        <v>2000</v>
      </c>
      <c r="I31" s="1067">
        <v>1500</v>
      </c>
      <c r="J31" s="1128">
        <f t="shared" si="0"/>
        <v>75</v>
      </c>
      <c r="K31" s="1068">
        <v>90000000</v>
      </c>
      <c r="L31" s="1068">
        <v>89000000</v>
      </c>
      <c r="M31" s="1129">
        <f t="shared" si="1"/>
        <v>98.888888888888886</v>
      </c>
      <c r="N31" s="1068">
        <v>90000000</v>
      </c>
      <c r="O31" s="1068">
        <v>89000000</v>
      </c>
      <c r="P31" s="1129">
        <f t="shared" si="2"/>
        <v>98.888888888888886</v>
      </c>
      <c r="Q31" s="1069">
        <v>70</v>
      </c>
      <c r="R31" s="1069">
        <v>65</v>
      </c>
      <c r="S31" s="1129">
        <f t="shared" si="3"/>
        <v>92.857142857142861</v>
      </c>
      <c r="T31" s="1068">
        <f t="shared" si="4"/>
        <v>89000000</v>
      </c>
      <c r="U31" s="1068">
        <v>80000000</v>
      </c>
      <c r="V31" s="1267">
        <f t="shared" si="5"/>
        <v>89.887640449438194</v>
      </c>
      <c r="W31" s="1062"/>
      <c r="X31" s="1062"/>
      <c r="Y31" s="1062"/>
      <c r="Z31" s="1062"/>
      <c r="AA31" s="1062"/>
      <c r="AB31" s="1062"/>
      <c r="AC31" s="1062"/>
      <c r="AD31" s="1062"/>
      <c r="AE31" s="1062"/>
      <c r="AF31" s="1062"/>
      <c r="AG31" s="1062"/>
      <c r="AH31" s="1062"/>
      <c r="AI31" s="1062"/>
      <c r="AJ31" s="1062"/>
      <c r="AK31" s="1062"/>
      <c r="AL31" s="1062"/>
      <c r="AM31" s="1062"/>
      <c r="AN31" s="1062"/>
      <c r="AO31" s="1062"/>
      <c r="AP31" s="1062"/>
      <c r="AQ31" s="1062"/>
      <c r="AR31" s="1062"/>
      <c r="AS31" s="1062"/>
      <c r="AT31" s="1062"/>
      <c r="AU31" s="1062"/>
      <c r="AV31" s="1062"/>
      <c r="AW31" s="1062"/>
    </row>
    <row r="32" spans="2:49" x14ac:dyDescent="0.2">
      <c r="B32" s="1073" t="s">
        <v>909</v>
      </c>
      <c r="C32" s="1074" t="s">
        <v>898</v>
      </c>
      <c r="D32" s="1075" t="s">
        <v>911</v>
      </c>
      <c r="E32" s="1075" t="s">
        <v>902</v>
      </c>
      <c r="F32" s="1075"/>
      <c r="G32" s="1066" t="s">
        <v>1741</v>
      </c>
      <c r="H32" s="1067">
        <v>1000</v>
      </c>
      <c r="I32" s="1067">
        <v>800</v>
      </c>
      <c r="J32" s="1128">
        <f t="shared" si="0"/>
        <v>80</v>
      </c>
      <c r="K32" s="1068">
        <v>95000000</v>
      </c>
      <c r="L32" s="1068">
        <v>90000000</v>
      </c>
      <c r="M32" s="1129">
        <f t="shared" si="1"/>
        <v>94.73684210526315</v>
      </c>
      <c r="N32" s="1068">
        <v>95000000</v>
      </c>
      <c r="O32" s="1068">
        <v>90000000</v>
      </c>
      <c r="P32" s="1129">
        <f t="shared" si="2"/>
        <v>94.73684210526315</v>
      </c>
      <c r="Q32" s="1069">
        <v>100</v>
      </c>
      <c r="R32" s="1069">
        <v>90</v>
      </c>
      <c r="S32" s="1129">
        <f t="shared" si="3"/>
        <v>90</v>
      </c>
      <c r="T32" s="1068">
        <f t="shared" si="4"/>
        <v>90000000</v>
      </c>
      <c r="U32" s="1068">
        <v>40000000</v>
      </c>
      <c r="V32" s="1267">
        <f t="shared" si="5"/>
        <v>44.444444444444443</v>
      </c>
      <c r="W32" s="1062"/>
      <c r="X32" s="1062"/>
      <c r="Y32" s="1062"/>
      <c r="Z32" s="1062"/>
      <c r="AA32" s="1062"/>
      <c r="AB32" s="1062"/>
      <c r="AC32" s="1062"/>
      <c r="AD32" s="1062"/>
      <c r="AE32" s="1062"/>
      <c r="AF32" s="1062"/>
      <c r="AG32" s="1062"/>
      <c r="AH32" s="1062"/>
      <c r="AI32" s="1062"/>
      <c r="AJ32" s="1062"/>
      <c r="AK32" s="1062"/>
      <c r="AL32" s="1062"/>
      <c r="AM32" s="1062"/>
      <c r="AN32" s="1062"/>
      <c r="AO32" s="1062"/>
      <c r="AP32" s="1062"/>
      <c r="AQ32" s="1062"/>
      <c r="AR32" s="1062"/>
      <c r="AS32" s="1062"/>
      <c r="AT32" s="1062"/>
      <c r="AU32" s="1062"/>
      <c r="AV32" s="1062"/>
      <c r="AW32" s="1062"/>
    </row>
    <row r="33" spans="2:49" x14ac:dyDescent="0.2">
      <c r="B33" s="1073" t="s">
        <v>909</v>
      </c>
      <c r="C33" s="1076" t="s">
        <v>906</v>
      </c>
      <c r="D33" s="1077" t="s">
        <v>912</v>
      </c>
      <c r="E33" s="1077" t="s">
        <v>900</v>
      </c>
      <c r="F33" s="1077"/>
      <c r="G33" s="1066" t="s">
        <v>1741</v>
      </c>
      <c r="H33" s="1067">
        <v>500</v>
      </c>
      <c r="I33" s="1067">
        <v>500</v>
      </c>
      <c r="J33" s="1128">
        <f t="shared" si="0"/>
        <v>100</v>
      </c>
      <c r="K33" s="1068">
        <v>45000000</v>
      </c>
      <c r="L33" s="1068">
        <v>45000000</v>
      </c>
      <c r="M33" s="1129">
        <f t="shared" si="1"/>
        <v>100</v>
      </c>
      <c r="N33" s="1068">
        <v>45000000</v>
      </c>
      <c r="O33" s="1068">
        <v>44000000</v>
      </c>
      <c r="P33" s="1129">
        <f t="shared" si="2"/>
        <v>97.777777777777771</v>
      </c>
      <c r="Q33" s="1069">
        <v>80</v>
      </c>
      <c r="R33" s="1069">
        <v>78</v>
      </c>
      <c r="S33" s="1129">
        <f t="shared" si="3"/>
        <v>97.5</v>
      </c>
      <c r="T33" s="1068">
        <f t="shared" si="4"/>
        <v>44000000</v>
      </c>
      <c r="U33" s="1068">
        <v>35000000</v>
      </c>
      <c r="V33" s="1267">
        <f t="shared" si="5"/>
        <v>79.545454545454547</v>
      </c>
      <c r="W33" s="1062"/>
      <c r="X33" s="1062"/>
      <c r="Y33" s="1062"/>
      <c r="Z33" s="1062"/>
      <c r="AA33" s="1062"/>
      <c r="AB33" s="1062"/>
      <c r="AC33" s="1062"/>
      <c r="AD33" s="1062"/>
      <c r="AE33" s="1062"/>
      <c r="AF33" s="1062"/>
      <c r="AG33" s="1062"/>
      <c r="AH33" s="1062"/>
      <c r="AI33" s="1062"/>
      <c r="AJ33" s="1062"/>
      <c r="AK33" s="1062"/>
      <c r="AL33" s="1062"/>
      <c r="AM33" s="1062"/>
      <c r="AN33" s="1062"/>
      <c r="AO33" s="1062"/>
      <c r="AP33" s="1062"/>
      <c r="AQ33" s="1062"/>
      <c r="AR33" s="1062"/>
      <c r="AS33" s="1062"/>
      <c r="AT33" s="1062"/>
      <c r="AU33" s="1062"/>
      <c r="AV33" s="1062"/>
      <c r="AW33" s="1062"/>
    </row>
    <row r="34" spans="2:49" x14ac:dyDescent="0.2">
      <c r="B34" s="1078"/>
      <c r="C34" s="1079"/>
      <c r="D34" s="1078"/>
      <c r="E34" s="1080"/>
      <c r="F34" s="1080"/>
      <c r="G34" s="1066"/>
      <c r="H34" s="1067"/>
      <c r="I34" s="1067"/>
      <c r="J34" s="1128" t="str">
        <f>IF(AND(H34=0,I34=0),"",IF(I34&lt;&gt;0,IF(I34&gt;H34,"100",I34/H34*100),0))</f>
        <v/>
      </c>
      <c r="K34" s="1068"/>
      <c r="L34" s="1068"/>
      <c r="M34" s="1129" t="str">
        <f t="shared" si="1"/>
        <v/>
      </c>
      <c r="N34" s="1068"/>
      <c r="O34" s="1068"/>
      <c r="P34" s="1129" t="str">
        <f t="shared" si="2"/>
        <v/>
      </c>
      <c r="Q34" s="1069"/>
      <c r="R34" s="1069"/>
      <c r="S34" s="1129" t="str">
        <f t="shared" si="3"/>
        <v/>
      </c>
      <c r="T34" s="1068"/>
      <c r="U34" s="1068"/>
      <c r="V34" s="1267" t="str">
        <f t="shared" si="5"/>
        <v/>
      </c>
      <c r="W34" s="1062"/>
      <c r="X34" s="1062"/>
      <c r="Y34" s="1062"/>
      <c r="Z34" s="1062"/>
      <c r="AA34" s="1062"/>
      <c r="AB34" s="1062"/>
      <c r="AC34" s="1062"/>
      <c r="AD34" s="1062"/>
      <c r="AE34" s="1062"/>
      <c r="AF34" s="1062"/>
      <c r="AG34" s="1062"/>
      <c r="AH34" s="1062"/>
      <c r="AI34" s="1062"/>
      <c r="AJ34" s="1062"/>
      <c r="AK34" s="1062"/>
      <c r="AL34" s="1062"/>
      <c r="AM34" s="1062"/>
      <c r="AN34" s="1062"/>
      <c r="AO34" s="1062"/>
      <c r="AP34" s="1062"/>
      <c r="AQ34" s="1062"/>
      <c r="AR34" s="1062"/>
      <c r="AS34" s="1062"/>
      <c r="AT34" s="1062"/>
      <c r="AU34" s="1062"/>
      <c r="AV34" s="1062"/>
      <c r="AW34" s="1062"/>
    </row>
    <row r="35" spans="2:49" x14ac:dyDescent="0.2">
      <c r="B35" s="1078"/>
      <c r="C35" s="1079"/>
      <c r="D35" s="1078"/>
      <c r="E35" s="1081"/>
      <c r="F35" s="1081"/>
      <c r="G35" s="1066"/>
      <c r="H35" s="1067"/>
      <c r="I35" s="1067"/>
      <c r="J35" s="1128" t="str">
        <f t="shared" si="0"/>
        <v/>
      </c>
      <c r="K35" s="1068"/>
      <c r="L35" s="1068"/>
      <c r="M35" s="1129" t="str">
        <f t="shared" si="1"/>
        <v/>
      </c>
      <c r="N35" s="1068"/>
      <c r="O35" s="1068"/>
      <c r="P35" s="1129" t="str">
        <f t="shared" si="2"/>
        <v/>
      </c>
      <c r="Q35" s="1069"/>
      <c r="R35" s="1069"/>
      <c r="S35" s="1129" t="str">
        <f t="shared" si="3"/>
        <v/>
      </c>
      <c r="T35" s="1068"/>
      <c r="U35" s="1068"/>
      <c r="V35" s="1267" t="str">
        <f t="shared" si="5"/>
        <v/>
      </c>
      <c r="W35" s="1062"/>
      <c r="X35" s="1062"/>
      <c r="Y35" s="1062"/>
      <c r="Z35" s="1062"/>
      <c r="AA35" s="1062"/>
      <c r="AB35" s="1062"/>
      <c r="AC35" s="1062"/>
      <c r="AD35" s="1062"/>
      <c r="AE35" s="1062"/>
      <c r="AF35" s="1062"/>
      <c r="AG35" s="1062"/>
      <c r="AH35" s="1062"/>
      <c r="AI35" s="1062"/>
      <c r="AJ35" s="1062"/>
      <c r="AK35" s="1062"/>
      <c r="AL35" s="1062"/>
      <c r="AM35" s="1062"/>
      <c r="AN35" s="1062"/>
      <c r="AO35" s="1062"/>
      <c r="AP35" s="1062"/>
      <c r="AQ35" s="1062"/>
      <c r="AR35" s="1062"/>
      <c r="AS35" s="1062"/>
      <c r="AT35" s="1062"/>
      <c r="AU35" s="1062"/>
      <c r="AV35" s="1062"/>
      <c r="AW35" s="1062"/>
    </row>
    <row r="36" spans="2:49" x14ac:dyDescent="0.2">
      <c r="B36" s="1078"/>
      <c r="C36" s="1079"/>
      <c r="D36" s="1078"/>
      <c r="E36" s="1081"/>
      <c r="F36" s="1081"/>
      <c r="G36" s="1066"/>
      <c r="H36" s="1067"/>
      <c r="I36" s="1067"/>
      <c r="J36" s="1128" t="str">
        <f t="shared" si="0"/>
        <v/>
      </c>
      <c r="K36" s="1068"/>
      <c r="L36" s="1068"/>
      <c r="M36" s="1129" t="str">
        <f t="shared" si="1"/>
        <v/>
      </c>
      <c r="N36" s="1068"/>
      <c r="O36" s="1068"/>
      <c r="P36" s="1129" t="str">
        <f t="shared" si="2"/>
        <v/>
      </c>
      <c r="Q36" s="1069"/>
      <c r="R36" s="1069"/>
      <c r="S36" s="1129" t="str">
        <f t="shared" si="3"/>
        <v/>
      </c>
      <c r="T36" s="1068"/>
      <c r="U36" s="1068"/>
      <c r="V36" s="1267" t="str">
        <f t="shared" si="5"/>
        <v/>
      </c>
      <c r="W36" s="1062"/>
      <c r="X36" s="1062"/>
      <c r="Y36" s="1062"/>
      <c r="Z36" s="1062"/>
      <c r="AA36" s="1062"/>
      <c r="AB36" s="1062"/>
      <c r="AC36" s="1062"/>
      <c r="AD36" s="1062"/>
      <c r="AE36" s="1062"/>
      <c r="AF36" s="1062"/>
      <c r="AG36" s="1062"/>
      <c r="AH36" s="1062"/>
      <c r="AI36" s="1062"/>
      <c r="AJ36" s="1062"/>
      <c r="AK36" s="1062"/>
      <c r="AL36" s="1062"/>
      <c r="AM36" s="1062"/>
      <c r="AN36" s="1062"/>
      <c r="AO36" s="1062"/>
      <c r="AP36" s="1062"/>
      <c r="AQ36" s="1062"/>
      <c r="AR36" s="1062"/>
      <c r="AS36" s="1062"/>
      <c r="AT36" s="1062"/>
      <c r="AU36" s="1062"/>
      <c r="AV36" s="1062"/>
      <c r="AW36" s="1062"/>
    </row>
    <row r="37" spans="2:49" x14ac:dyDescent="0.2">
      <c r="B37" s="1078"/>
      <c r="C37" s="1079"/>
      <c r="D37" s="1078"/>
      <c r="E37" s="1081"/>
      <c r="F37" s="1081"/>
      <c r="G37" s="1066"/>
      <c r="H37" s="1067"/>
      <c r="I37" s="1067"/>
      <c r="J37" s="1128" t="str">
        <f t="shared" si="0"/>
        <v/>
      </c>
      <c r="K37" s="1068"/>
      <c r="L37" s="1068"/>
      <c r="M37" s="1129" t="str">
        <f t="shared" si="1"/>
        <v/>
      </c>
      <c r="N37" s="1068"/>
      <c r="O37" s="1068"/>
      <c r="P37" s="1129" t="str">
        <f t="shared" si="2"/>
        <v/>
      </c>
      <c r="Q37" s="1069"/>
      <c r="R37" s="1069"/>
      <c r="S37" s="1129" t="str">
        <f t="shared" si="3"/>
        <v/>
      </c>
      <c r="T37" s="1068"/>
      <c r="U37" s="1068"/>
      <c r="V37" s="1267" t="str">
        <f t="shared" si="5"/>
        <v/>
      </c>
      <c r="W37" s="1062"/>
      <c r="X37" s="1062"/>
      <c r="Y37" s="1062"/>
      <c r="Z37" s="1062"/>
      <c r="AA37" s="1062"/>
      <c r="AB37" s="1062"/>
      <c r="AC37" s="1062"/>
      <c r="AD37" s="1062"/>
      <c r="AE37" s="1062"/>
      <c r="AF37" s="1062"/>
      <c r="AG37" s="1062"/>
      <c r="AH37" s="1062"/>
      <c r="AI37" s="1062"/>
      <c r="AJ37" s="1062"/>
      <c r="AK37" s="1062"/>
      <c r="AL37" s="1062"/>
      <c r="AM37" s="1062"/>
      <c r="AN37" s="1062"/>
      <c r="AO37" s="1062"/>
      <c r="AP37" s="1062"/>
      <c r="AQ37" s="1062"/>
      <c r="AR37" s="1062"/>
      <c r="AS37" s="1062"/>
      <c r="AT37" s="1062"/>
      <c r="AU37" s="1062"/>
      <c r="AV37" s="1062"/>
      <c r="AW37" s="1062"/>
    </row>
    <row r="38" spans="2:49" x14ac:dyDescent="0.2">
      <c r="B38" s="1078"/>
      <c r="C38" s="1079"/>
      <c r="D38" s="1078"/>
      <c r="E38" s="1081"/>
      <c r="F38" s="1081"/>
      <c r="G38" s="1066"/>
      <c r="H38" s="1067"/>
      <c r="I38" s="1067"/>
      <c r="J38" s="1128" t="str">
        <f t="shared" si="0"/>
        <v/>
      </c>
      <c r="K38" s="1068"/>
      <c r="L38" s="1068"/>
      <c r="M38" s="1129" t="str">
        <f t="shared" si="1"/>
        <v/>
      </c>
      <c r="N38" s="1068"/>
      <c r="O38" s="1068"/>
      <c r="P38" s="1129" t="str">
        <f t="shared" si="2"/>
        <v/>
      </c>
      <c r="Q38" s="1069"/>
      <c r="R38" s="1069"/>
      <c r="S38" s="1129" t="str">
        <f t="shared" si="3"/>
        <v/>
      </c>
      <c r="T38" s="1068"/>
      <c r="U38" s="1068"/>
      <c r="V38" s="1267" t="str">
        <f t="shared" si="5"/>
        <v/>
      </c>
      <c r="W38" s="1062"/>
      <c r="X38" s="1062"/>
      <c r="Y38" s="1062"/>
      <c r="Z38" s="1062"/>
      <c r="AA38" s="1062"/>
      <c r="AB38" s="1062"/>
      <c r="AC38" s="1062"/>
      <c r="AD38" s="1062"/>
      <c r="AE38" s="1062"/>
      <c r="AF38" s="1062"/>
      <c r="AG38" s="1062"/>
      <c r="AH38" s="1062"/>
      <c r="AI38" s="1062"/>
      <c r="AJ38" s="1062"/>
      <c r="AK38" s="1062"/>
      <c r="AL38" s="1062"/>
      <c r="AM38" s="1062"/>
      <c r="AN38" s="1062"/>
      <c r="AO38" s="1062"/>
      <c r="AP38" s="1062"/>
      <c r="AQ38" s="1062"/>
      <c r="AR38" s="1062"/>
      <c r="AS38" s="1062"/>
      <c r="AT38" s="1062"/>
      <c r="AU38" s="1062"/>
      <c r="AV38" s="1062"/>
      <c r="AW38" s="1062"/>
    </row>
    <row r="39" spans="2:49" x14ac:dyDescent="0.2">
      <c r="B39" s="1078"/>
      <c r="C39" s="1079"/>
      <c r="D39" s="1078"/>
      <c r="E39" s="1081"/>
      <c r="F39" s="1081"/>
      <c r="G39" s="1066"/>
      <c r="H39" s="1067"/>
      <c r="I39" s="1067"/>
      <c r="J39" s="1128" t="str">
        <f t="shared" si="0"/>
        <v/>
      </c>
      <c r="K39" s="1068"/>
      <c r="L39" s="1068"/>
      <c r="M39" s="1129" t="str">
        <f t="shared" si="1"/>
        <v/>
      </c>
      <c r="N39" s="1068"/>
      <c r="O39" s="1068"/>
      <c r="P39" s="1129" t="str">
        <f t="shared" si="2"/>
        <v/>
      </c>
      <c r="Q39" s="1069"/>
      <c r="R39" s="1069"/>
      <c r="S39" s="1129" t="str">
        <f t="shared" si="3"/>
        <v/>
      </c>
      <c r="T39" s="1068"/>
      <c r="U39" s="1068"/>
      <c r="V39" s="1267" t="str">
        <f t="shared" si="5"/>
        <v/>
      </c>
      <c r="W39" s="1062"/>
      <c r="X39" s="1062"/>
      <c r="Y39" s="1062"/>
      <c r="Z39" s="1062"/>
      <c r="AA39" s="1062"/>
      <c r="AB39" s="1062"/>
      <c r="AC39" s="1062"/>
      <c r="AD39" s="1062"/>
      <c r="AE39" s="1062"/>
      <c r="AF39" s="1062"/>
      <c r="AG39" s="1062"/>
      <c r="AH39" s="1062"/>
      <c r="AI39" s="1062"/>
      <c r="AJ39" s="1062"/>
      <c r="AK39" s="1062"/>
      <c r="AL39" s="1062"/>
      <c r="AM39" s="1062"/>
      <c r="AN39" s="1062"/>
      <c r="AO39" s="1062"/>
      <c r="AP39" s="1062"/>
      <c r="AQ39" s="1062"/>
      <c r="AR39" s="1062"/>
      <c r="AS39" s="1062"/>
      <c r="AT39" s="1062"/>
      <c r="AU39" s="1062"/>
      <c r="AV39" s="1062"/>
      <c r="AW39" s="1062"/>
    </row>
    <row r="40" spans="2:49" x14ac:dyDescent="0.2">
      <c r="B40" s="1078"/>
      <c r="C40" s="1079"/>
      <c r="D40" s="1078"/>
      <c r="E40" s="1081"/>
      <c r="F40" s="1081"/>
      <c r="G40" s="1066"/>
      <c r="H40" s="1067"/>
      <c r="I40" s="1067"/>
      <c r="J40" s="1128" t="str">
        <f t="shared" si="0"/>
        <v/>
      </c>
      <c r="K40" s="1068"/>
      <c r="L40" s="1068"/>
      <c r="M40" s="1129" t="str">
        <f t="shared" si="1"/>
        <v/>
      </c>
      <c r="N40" s="1068"/>
      <c r="O40" s="1068"/>
      <c r="P40" s="1129" t="str">
        <f t="shared" si="2"/>
        <v/>
      </c>
      <c r="Q40" s="1069"/>
      <c r="R40" s="1069"/>
      <c r="S40" s="1129" t="str">
        <f t="shared" si="3"/>
        <v/>
      </c>
      <c r="T40" s="1068"/>
      <c r="U40" s="1068"/>
      <c r="V40" s="1267" t="str">
        <f t="shared" si="5"/>
        <v/>
      </c>
      <c r="W40" s="1062"/>
      <c r="X40" s="1062"/>
      <c r="Y40" s="1062"/>
      <c r="Z40" s="1062"/>
      <c r="AA40" s="1062"/>
      <c r="AB40" s="1062"/>
      <c r="AC40" s="1062"/>
      <c r="AD40" s="1062"/>
      <c r="AE40" s="1062"/>
      <c r="AF40" s="1062"/>
      <c r="AG40" s="1062"/>
      <c r="AH40" s="1062"/>
      <c r="AI40" s="1062"/>
      <c r="AJ40" s="1062"/>
      <c r="AK40" s="1062"/>
      <c r="AL40" s="1062"/>
      <c r="AM40" s="1062"/>
      <c r="AN40" s="1062"/>
      <c r="AO40" s="1062"/>
      <c r="AP40" s="1062"/>
      <c r="AQ40" s="1062"/>
      <c r="AR40" s="1062"/>
      <c r="AS40" s="1062"/>
      <c r="AT40" s="1062"/>
      <c r="AU40" s="1062"/>
      <c r="AV40" s="1062"/>
      <c r="AW40" s="1062"/>
    </row>
    <row r="41" spans="2:49" x14ac:dyDescent="0.2">
      <c r="B41" s="1078"/>
      <c r="C41" s="1079"/>
      <c r="D41" s="1078"/>
      <c r="E41" s="1081"/>
      <c r="F41" s="1081"/>
      <c r="G41" s="1066"/>
      <c r="H41" s="1067"/>
      <c r="I41" s="1067"/>
      <c r="J41" s="1128" t="str">
        <f>IF(AND(H41=0,I41=0),"",IF(I41&lt;&gt;0,IF(I41&gt;H41,"100",I41/H41*100),0))</f>
        <v/>
      </c>
      <c r="K41" s="1068"/>
      <c r="L41" s="1068"/>
      <c r="M41" s="1129" t="str">
        <f t="shared" si="1"/>
        <v/>
      </c>
      <c r="N41" s="1068"/>
      <c r="O41" s="1068"/>
      <c r="P41" s="1129" t="str">
        <f t="shared" si="2"/>
        <v/>
      </c>
      <c r="Q41" s="1069"/>
      <c r="R41" s="1069"/>
      <c r="S41" s="1129" t="str">
        <f t="shared" si="3"/>
        <v/>
      </c>
      <c r="T41" s="1068"/>
      <c r="U41" s="1068"/>
      <c r="V41" s="1267" t="str">
        <f t="shared" si="5"/>
        <v/>
      </c>
      <c r="W41" s="1062"/>
      <c r="X41" s="1062"/>
      <c r="Y41" s="1062"/>
      <c r="Z41" s="1062"/>
      <c r="AA41" s="1062"/>
      <c r="AB41" s="1062"/>
      <c r="AC41" s="1062"/>
      <c r="AD41" s="1062"/>
      <c r="AE41" s="1062"/>
      <c r="AF41" s="1062"/>
      <c r="AG41" s="1062"/>
      <c r="AH41" s="1062"/>
      <c r="AI41" s="1062"/>
      <c r="AJ41" s="1062"/>
      <c r="AK41" s="1062"/>
      <c r="AL41" s="1062"/>
      <c r="AM41" s="1062"/>
      <c r="AN41" s="1062"/>
      <c r="AO41" s="1062"/>
      <c r="AP41" s="1062"/>
      <c r="AQ41" s="1062"/>
      <c r="AR41" s="1062"/>
      <c r="AS41" s="1062"/>
      <c r="AT41" s="1062"/>
      <c r="AU41" s="1062"/>
      <c r="AV41" s="1062"/>
      <c r="AW41" s="1062"/>
    </row>
    <row r="42" spans="2:49" x14ac:dyDescent="0.2">
      <c r="B42" s="1078"/>
      <c r="C42" s="1079"/>
      <c r="D42" s="1078"/>
      <c r="E42" s="1081"/>
      <c r="F42" s="1081"/>
      <c r="G42" s="1066"/>
      <c r="H42" s="1067"/>
      <c r="I42" s="1067"/>
      <c r="J42" s="1128" t="str">
        <f t="shared" si="0"/>
        <v/>
      </c>
      <c r="K42" s="1068"/>
      <c r="L42" s="1068"/>
      <c r="M42" s="1129" t="str">
        <f t="shared" si="1"/>
        <v/>
      </c>
      <c r="N42" s="1068"/>
      <c r="O42" s="1068"/>
      <c r="P42" s="1129" t="str">
        <f t="shared" si="2"/>
        <v/>
      </c>
      <c r="Q42" s="1069"/>
      <c r="R42" s="1069"/>
      <c r="S42" s="1129" t="str">
        <f t="shared" si="3"/>
        <v/>
      </c>
      <c r="T42" s="1068"/>
      <c r="U42" s="1068"/>
      <c r="V42" s="1267" t="str">
        <f t="shared" si="5"/>
        <v/>
      </c>
      <c r="W42" s="1062"/>
      <c r="X42" s="1082"/>
      <c r="Y42" s="1062"/>
      <c r="Z42" s="1062"/>
      <c r="AA42" s="1062"/>
      <c r="AB42" s="1062"/>
      <c r="AC42" s="1062"/>
      <c r="AD42" s="1062"/>
      <c r="AE42" s="1062"/>
      <c r="AF42" s="1062"/>
      <c r="AG42" s="1062"/>
      <c r="AH42" s="1062"/>
      <c r="AI42" s="1062"/>
      <c r="AJ42" s="1062"/>
      <c r="AK42" s="1062"/>
      <c r="AL42" s="1062"/>
      <c r="AM42" s="1062"/>
      <c r="AN42" s="1062"/>
      <c r="AO42" s="1062"/>
      <c r="AP42" s="1062"/>
      <c r="AQ42" s="1062"/>
      <c r="AR42" s="1062"/>
      <c r="AS42" s="1062"/>
      <c r="AT42" s="1062"/>
      <c r="AU42" s="1062"/>
      <c r="AV42" s="1062"/>
      <c r="AW42" s="1062"/>
    </row>
    <row r="43" spans="2:49" x14ac:dyDescent="0.2">
      <c r="B43" s="1078"/>
      <c r="C43" s="1079"/>
      <c r="D43" s="1078"/>
      <c r="E43" s="1081"/>
      <c r="F43" s="1081"/>
      <c r="G43" s="1066"/>
      <c r="H43" s="1067"/>
      <c r="I43" s="1067"/>
      <c r="J43" s="1128" t="str">
        <f t="shared" si="0"/>
        <v/>
      </c>
      <c r="K43" s="1068"/>
      <c r="L43" s="1068"/>
      <c r="M43" s="1129" t="str">
        <f t="shared" si="1"/>
        <v/>
      </c>
      <c r="N43" s="1068"/>
      <c r="O43" s="1068"/>
      <c r="P43" s="1129" t="str">
        <f t="shared" si="2"/>
        <v/>
      </c>
      <c r="Q43" s="1069"/>
      <c r="R43" s="1069"/>
      <c r="S43" s="1129" t="str">
        <f t="shared" si="3"/>
        <v/>
      </c>
      <c r="T43" s="1068"/>
      <c r="U43" s="1068"/>
      <c r="V43" s="1267" t="str">
        <f t="shared" si="5"/>
        <v/>
      </c>
      <c r="W43" s="1062"/>
      <c r="X43" s="1062"/>
      <c r="Y43" s="1062"/>
      <c r="Z43" s="1062"/>
      <c r="AA43" s="1062"/>
      <c r="AB43" s="1062"/>
      <c r="AC43" s="1062"/>
      <c r="AD43" s="1062"/>
      <c r="AE43" s="1062"/>
      <c r="AF43" s="1062"/>
      <c r="AG43" s="1062"/>
      <c r="AH43" s="1062"/>
      <c r="AI43" s="1062"/>
      <c r="AJ43" s="1062"/>
      <c r="AK43" s="1062"/>
      <c r="AL43" s="1062"/>
      <c r="AM43" s="1062"/>
      <c r="AN43" s="1062"/>
      <c r="AO43" s="1062"/>
      <c r="AP43" s="1062"/>
      <c r="AQ43" s="1062"/>
      <c r="AR43" s="1062"/>
      <c r="AS43" s="1062"/>
      <c r="AT43" s="1062"/>
      <c r="AU43" s="1062"/>
      <c r="AV43" s="1062"/>
      <c r="AW43" s="1062"/>
    </row>
    <row r="44" spans="2:49" x14ac:dyDescent="0.2">
      <c r="B44" s="1078"/>
      <c r="C44" s="1079"/>
      <c r="D44" s="1078"/>
      <c r="E44" s="1081"/>
      <c r="F44" s="1081"/>
      <c r="G44" s="1066"/>
      <c r="H44" s="1067"/>
      <c r="I44" s="1067"/>
      <c r="J44" s="1128" t="str">
        <f t="shared" si="0"/>
        <v/>
      </c>
      <c r="K44" s="1068"/>
      <c r="L44" s="1068"/>
      <c r="M44" s="1129" t="str">
        <f t="shared" si="1"/>
        <v/>
      </c>
      <c r="N44" s="1068"/>
      <c r="O44" s="1068"/>
      <c r="P44" s="1129" t="str">
        <f t="shared" si="2"/>
        <v/>
      </c>
      <c r="Q44" s="1069"/>
      <c r="R44" s="1069"/>
      <c r="S44" s="1129" t="str">
        <f t="shared" si="3"/>
        <v/>
      </c>
      <c r="T44" s="1068"/>
      <c r="U44" s="1068"/>
      <c r="V44" s="1267" t="str">
        <f t="shared" si="5"/>
        <v/>
      </c>
      <c r="W44" s="1062"/>
      <c r="X44" s="1062"/>
      <c r="Y44" s="1062"/>
      <c r="Z44" s="1062"/>
      <c r="AA44" s="1062"/>
      <c r="AB44" s="1062"/>
      <c r="AC44" s="1062"/>
      <c r="AD44" s="1062"/>
      <c r="AE44" s="1062"/>
      <c r="AF44" s="1062"/>
      <c r="AG44" s="1062"/>
      <c r="AH44" s="1062"/>
      <c r="AI44" s="1062"/>
      <c r="AJ44" s="1062"/>
      <c r="AK44" s="1062"/>
      <c r="AL44" s="1062"/>
      <c r="AM44" s="1062"/>
      <c r="AN44" s="1062"/>
      <c r="AO44" s="1062"/>
      <c r="AP44" s="1062"/>
      <c r="AQ44" s="1062"/>
      <c r="AR44" s="1062"/>
      <c r="AS44" s="1062"/>
      <c r="AT44" s="1062"/>
      <c r="AU44" s="1062"/>
      <c r="AV44" s="1062"/>
      <c r="AW44" s="1062"/>
    </row>
    <row r="45" spans="2:49" x14ac:dyDescent="0.2">
      <c r="B45" s="1078"/>
      <c r="C45" s="1079"/>
      <c r="D45" s="1078"/>
      <c r="E45" s="1081"/>
      <c r="F45" s="1081"/>
      <c r="G45" s="1066"/>
      <c r="H45" s="1067"/>
      <c r="I45" s="1067"/>
      <c r="J45" s="1128" t="str">
        <f t="shared" si="0"/>
        <v/>
      </c>
      <c r="K45" s="1068"/>
      <c r="L45" s="1068"/>
      <c r="M45" s="1129" t="str">
        <f t="shared" si="1"/>
        <v/>
      </c>
      <c r="N45" s="1068"/>
      <c r="O45" s="1068"/>
      <c r="P45" s="1129" t="str">
        <f t="shared" si="2"/>
        <v/>
      </c>
      <c r="Q45" s="1069"/>
      <c r="R45" s="1069"/>
      <c r="S45" s="1129" t="str">
        <f t="shared" si="3"/>
        <v/>
      </c>
      <c r="T45" s="1068"/>
      <c r="U45" s="1068"/>
      <c r="V45" s="1267" t="str">
        <f t="shared" si="5"/>
        <v/>
      </c>
      <c r="W45" s="1062"/>
      <c r="X45" s="1062"/>
      <c r="Y45" s="1062"/>
      <c r="Z45" s="1062"/>
      <c r="AA45" s="1062"/>
      <c r="AB45" s="1062"/>
      <c r="AC45" s="1062"/>
      <c r="AD45" s="1062"/>
      <c r="AE45" s="1062"/>
      <c r="AF45" s="1062"/>
      <c r="AG45" s="1062"/>
      <c r="AH45" s="1062"/>
      <c r="AI45" s="1062"/>
      <c r="AJ45" s="1062"/>
      <c r="AK45" s="1062"/>
      <c r="AL45" s="1062"/>
      <c r="AM45" s="1062"/>
      <c r="AN45" s="1062"/>
      <c r="AO45" s="1062"/>
      <c r="AP45" s="1062"/>
      <c r="AQ45" s="1062"/>
      <c r="AR45" s="1062"/>
      <c r="AS45" s="1062"/>
      <c r="AT45" s="1062"/>
      <c r="AU45" s="1062"/>
      <c r="AV45" s="1062"/>
      <c r="AW45" s="1062"/>
    </row>
    <row r="46" spans="2:49" x14ac:dyDescent="0.2">
      <c r="B46" s="1078"/>
      <c r="C46" s="1079"/>
      <c r="D46" s="1078"/>
      <c r="E46" s="1081"/>
      <c r="F46" s="1081"/>
      <c r="G46" s="1066"/>
      <c r="H46" s="1067"/>
      <c r="I46" s="1067"/>
      <c r="J46" s="1128" t="str">
        <f t="shared" si="0"/>
        <v/>
      </c>
      <c r="K46" s="1068"/>
      <c r="L46" s="1068"/>
      <c r="M46" s="1129" t="str">
        <f t="shared" si="1"/>
        <v/>
      </c>
      <c r="N46" s="1068"/>
      <c r="O46" s="1068"/>
      <c r="P46" s="1129" t="str">
        <f t="shared" si="2"/>
        <v/>
      </c>
      <c r="Q46" s="1069"/>
      <c r="R46" s="1069"/>
      <c r="S46" s="1129" t="str">
        <f t="shared" si="3"/>
        <v/>
      </c>
      <c r="T46" s="1068"/>
      <c r="U46" s="1068"/>
      <c r="V46" s="1267" t="str">
        <f t="shared" si="5"/>
        <v/>
      </c>
      <c r="W46" s="1062"/>
      <c r="X46" s="1062"/>
      <c r="Y46" s="1062"/>
      <c r="Z46" s="1062"/>
      <c r="AA46" s="1062"/>
      <c r="AB46" s="1062"/>
      <c r="AC46" s="1062"/>
      <c r="AD46" s="1062"/>
      <c r="AE46" s="1062"/>
      <c r="AF46" s="1062"/>
      <c r="AG46" s="1062"/>
      <c r="AH46" s="1062"/>
      <c r="AI46" s="1062"/>
      <c r="AJ46" s="1062"/>
      <c r="AK46" s="1062"/>
      <c r="AL46" s="1062"/>
      <c r="AM46" s="1062"/>
      <c r="AN46" s="1062"/>
      <c r="AO46" s="1062"/>
      <c r="AP46" s="1062"/>
      <c r="AQ46" s="1062"/>
      <c r="AR46" s="1062"/>
      <c r="AS46" s="1062"/>
      <c r="AT46" s="1062"/>
      <c r="AU46" s="1062"/>
      <c r="AV46" s="1062"/>
      <c r="AW46" s="1062"/>
    </row>
    <row r="47" spans="2:49" x14ac:dyDescent="0.2">
      <c r="B47" s="1078"/>
      <c r="C47" s="1079"/>
      <c r="D47" s="1078"/>
      <c r="E47" s="1081"/>
      <c r="F47" s="1081"/>
      <c r="G47" s="1066"/>
      <c r="H47" s="1069"/>
      <c r="I47" s="1069"/>
      <c r="J47" s="1128" t="str">
        <f t="shared" si="0"/>
        <v/>
      </c>
      <c r="K47" s="1068"/>
      <c r="L47" s="1068"/>
      <c r="M47" s="1129" t="str">
        <f t="shared" si="1"/>
        <v/>
      </c>
      <c r="N47" s="1068"/>
      <c r="O47" s="1068"/>
      <c r="P47" s="1129" t="str">
        <f t="shared" si="2"/>
        <v/>
      </c>
      <c r="Q47" s="1069"/>
      <c r="R47" s="1069"/>
      <c r="S47" s="1129" t="str">
        <f t="shared" si="3"/>
        <v/>
      </c>
      <c r="T47" s="1068"/>
      <c r="U47" s="1068"/>
      <c r="V47" s="1267" t="str">
        <f t="shared" si="5"/>
        <v/>
      </c>
      <c r="W47" s="1062"/>
      <c r="X47" s="1062"/>
      <c r="Y47" s="1062"/>
      <c r="Z47" s="1062"/>
      <c r="AA47" s="1062"/>
      <c r="AB47" s="1062"/>
      <c r="AC47" s="1062"/>
      <c r="AD47" s="1062"/>
      <c r="AE47" s="1062"/>
      <c r="AF47" s="1062"/>
      <c r="AG47" s="1062"/>
      <c r="AH47" s="1062"/>
      <c r="AI47" s="1062"/>
      <c r="AJ47" s="1062"/>
      <c r="AK47" s="1062"/>
      <c r="AL47" s="1062"/>
      <c r="AM47" s="1062"/>
      <c r="AN47" s="1062"/>
      <c r="AO47" s="1062"/>
      <c r="AP47" s="1062"/>
      <c r="AQ47" s="1062"/>
      <c r="AR47" s="1062"/>
      <c r="AS47" s="1062"/>
      <c r="AT47" s="1062"/>
      <c r="AU47" s="1062"/>
      <c r="AV47" s="1062"/>
      <c r="AW47" s="1062"/>
    </row>
    <row r="48" spans="2:49" x14ac:dyDescent="0.2">
      <c r="B48" s="1078"/>
      <c r="C48" s="1079"/>
      <c r="D48" s="1078"/>
      <c r="E48" s="1081"/>
      <c r="F48" s="1081"/>
      <c r="G48" s="1066"/>
      <c r="H48" s="1069"/>
      <c r="I48" s="1069"/>
      <c r="J48" s="1128" t="str">
        <f t="shared" si="0"/>
        <v/>
      </c>
      <c r="K48" s="1068"/>
      <c r="L48" s="1068"/>
      <c r="M48" s="1129" t="str">
        <f t="shared" si="1"/>
        <v/>
      </c>
      <c r="N48" s="1068"/>
      <c r="O48" s="1068"/>
      <c r="P48" s="1129" t="str">
        <f t="shared" si="2"/>
        <v/>
      </c>
      <c r="Q48" s="1069"/>
      <c r="R48" s="1069"/>
      <c r="S48" s="1129" t="str">
        <f t="shared" si="3"/>
        <v/>
      </c>
      <c r="T48" s="1068"/>
      <c r="U48" s="1068"/>
      <c r="V48" s="1267" t="str">
        <f t="shared" si="5"/>
        <v/>
      </c>
      <c r="W48" s="1062"/>
      <c r="X48" s="1062"/>
      <c r="Y48" s="1062"/>
      <c r="Z48" s="1062"/>
      <c r="AA48" s="1062"/>
      <c r="AB48" s="1062"/>
      <c r="AC48" s="1062"/>
      <c r="AD48" s="1062"/>
      <c r="AE48" s="1062"/>
      <c r="AF48" s="1062"/>
      <c r="AG48" s="1062"/>
      <c r="AH48" s="1062"/>
      <c r="AI48" s="1062"/>
      <c r="AJ48" s="1062"/>
      <c r="AK48" s="1062"/>
      <c r="AL48" s="1062"/>
      <c r="AM48" s="1062"/>
      <c r="AN48" s="1062"/>
      <c r="AO48" s="1062"/>
      <c r="AP48" s="1062"/>
      <c r="AQ48" s="1062"/>
      <c r="AR48" s="1062"/>
      <c r="AS48" s="1062"/>
      <c r="AT48" s="1062"/>
      <c r="AU48" s="1062"/>
      <c r="AV48" s="1062"/>
      <c r="AW48" s="1062"/>
    </row>
    <row r="49" spans="2:49" x14ac:dyDescent="0.2">
      <c r="B49" s="1078"/>
      <c r="C49" s="1079"/>
      <c r="D49" s="1078"/>
      <c r="E49" s="1081"/>
      <c r="F49" s="1081"/>
      <c r="G49" s="1066"/>
      <c r="H49" s="1069"/>
      <c r="I49" s="1069"/>
      <c r="J49" s="1128" t="str">
        <f t="shared" si="0"/>
        <v/>
      </c>
      <c r="K49" s="1068"/>
      <c r="L49" s="1068"/>
      <c r="M49" s="1129" t="str">
        <f t="shared" si="1"/>
        <v/>
      </c>
      <c r="N49" s="1068"/>
      <c r="O49" s="1068"/>
      <c r="P49" s="1129" t="str">
        <f t="shared" si="2"/>
        <v/>
      </c>
      <c r="Q49" s="1069"/>
      <c r="R49" s="1069"/>
      <c r="S49" s="1129" t="str">
        <f t="shared" si="3"/>
        <v/>
      </c>
      <c r="T49" s="1068"/>
      <c r="U49" s="1068"/>
      <c r="V49" s="1267" t="str">
        <f t="shared" si="5"/>
        <v/>
      </c>
      <c r="W49" s="1062"/>
      <c r="X49" s="1062"/>
      <c r="Y49" s="1062"/>
      <c r="Z49" s="1062"/>
      <c r="AA49" s="1062"/>
      <c r="AB49" s="1062"/>
      <c r="AC49" s="1062"/>
      <c r="AD49" s="1062"/>
      <c r="AE49" s="1062"/>
      <c r="AF49" s="1062"/>
      <c r="AG49" s="1062"/>
      <c r="AH49" s="1062"/>
      <c r="AI49" s="1062"/>
      <c r="AJ49" s="1062"/>
      <c r="AK49" s="1062"/>
      <c r="AL49" s="1062"/>
      <c r="AM49" s="1062"/>
      <c r="AN49" s="1062"/>
      <c r="AO49" s="1062"/>
      <c r="AP49" s="1062"/>
      <c r="AQ49" s="1062"/>
      <c r="AR49" s="1062"/>
      <c r="AS49" s="1062"/>
      <c r="AT49" s="1062"/>
      <c r="AU49" s="1062"/>
      <c r="AV49" s="1062"/>
      <c r="AW49" s="1062"/>
    </row>
    <row r="50" spans="2:49" x14ac:dyDescent="0.2">
      <c r="B50" s="1078"/>
      <c r="C50" s="1079"/>
      <c r="D50" s="1078"/>
      <c r="E50" s="1081"/>
      <c r="F50" s="1081"/>
      <c r="G50" s="1066"/>
      <c r="H50" s="1069"/>
      <c r="I50" s="1069"/>
      <c r="J50" s="1128" t="str">
        <f t="shared" si="0"/>
        <v/>
      </c>
      <c r="K50" s="1068"/>
      <c r="L50" s="1068"/>
      <c r="M50" s="1129" t="str">
        <f t="shared" si="1"/>
        <v/>
      </c>
      <c r="N50" s="1068"/>
      <c r="O50" s="1068"/>
      <c r="P50" s="1129" t="str">
        <f t="shared" si="2"/>
        <v/>
      </c>
      <c r="Q50" s="1069"/>
      <c r="R50" s="1069"/>
      <c r="S50" s="1129" t="str">
        <f t="shared" si="3"/>
        <v/>
      </c>
      <c r="T50" s="1068"/>
      <c r="U50" s="1068"/>
      <c r="V50" s="1267" t="str">
        <f t="shared" si="5"/>
        <v/>
      </c>
      <c r="W50" s="1062"/>
      <c r="X50" s="1062"/>
      <c r="Y50" s="1062"/>
      <c r="Z50" s="1062"/>
      <c r="AA50" s="1062"/>
      <c r="AB50" s="1062"/>
      <c r="AC50" s="1062"/>
      <c r="AD50" s="1062"/>
      <c r="AE50" s="1062"/>
      <c r="AF50" s="1062"/>
      <c r="AG50" s="1062"/>
      <c r="AH50" s="1062"/>
      <c r="AI50" s="1062"/>
      <c r="AJ50" s="1062"/>
      <c r="AK50" s="1062"/>
      <c r="AL50" s="1062"/>
      <c r="AM50" s="1062"/>
      <c r="AN50" s="1062"/>
      <c r="AO50" s="1062"/>
      <c r="AP50" s="1062"/>
      <c r="AQ50" s="1062"/>
      <c r="AR50" s="1062"/>
      <c r="AS50" s="1062"/>
      <c r="AT50" s="1062"/>
      <c r="AU50" s="1062"/>
      <c r="AV50" s="1062"/>
      <c r="AW50" s="1062"/>
    </row>
    <row r="51" spans="2:49" x14ac:dyDescent="0.2">
      <c r="B51" s="1078"/>
      <c r="C51" s="1079"/>
      <c r="D51" s="1078"/>
      <c r="E51" s="1081"/>
      <c r="F51" s="1081"/>
      <c r="G51" s="1066"/>
      <c r="H51" s="1069"/>
      <c r="I51" s="1069"/>
      <c r="J51" s="1128" t="str">
        <f t="shared" si="0"/>
        <v/>
      </c>
      <c r="K51" s="1068"/>
      <c r="L51" s="1068"/>
      <c r="M51" s="1129" t="str">
        <f t="shared" si="1"/>
        <v/>
      </c>
      <c r="N51" s="1068"/>
      <c r="O51" s="1068"/>
      <c r="P51" s="1129" t="str">
        <f t="shared" si="2"/>
        <v/>
      </c>
      <c r="Q51" s="1069"/>
      <c r="R51" s="1069"/>
      <c r="S51" s="1129" t="str">
        <f t="shared" si="3"/>
        <v/>
      </c>
      <c r="T51" s="1068"/>
      <c r="U51" s="1068"/>
      <c r="V51" s="1267" t="str">
        <f t="shared" si="5"/>
        <v/>
      </c>
      <c r="W51" s="1062"/>
      <c r="X51" s="1062"/>
      <c r="Y51" s="1062"/>
      <c r="Z51" s="1062"/>
      <c r="AA51" s="1062"/>
      <c r="AB51" s="1062"/>
      <c r="AC51" s="1062"/>
      <c r="AD51" s="1062"/>
      <c r="AE51" s="1062"/>
      <c r="AF51" s="1062"/>
      <c r="AG51" s="1062"/>
      <c r="AH51" s="1062"/>
      <c r="AI51" s="1062"/>
      <c r="AJ51" s="1062"/>
      <c r="AK51" s="1062"/>
      <c r="AL51" s="1062"/>
      <c r="AM51" s="1062"/>
      <c r="AN51" s="1062"/>
      <c r="AO51" s="1062"/>
      <c r="AP51" s="1062"/>
      <c r="AQ51" s="1062"/>
      <c r="AR51" s="1062"/>
      <c r="AS51" s="1062"/>
      <c r="AT51" s="1062"/>
      <c r="AU51" s="1062"/>
      <c r="AV51" s="1062"/>
      <c r="AW51" s="1062"/>
    </row>
    <row r="52" spans="2:49" x14ac:dyDescent="0.2">
      <c r="B52" s="1078"/>
      <c r="C52" s="1079"/>
      <c r="D52" s="1078"/>
      <c r="E52" s="1081"/>
      <c r="F52" s="1081"/>
      <c r="G52" s="1066"/>
      <c r="H52" s="1069"/>
      <c r="I52" s="1069"/>
      <c r="J52" s="1128" t="str">
        <f t="shared" si="0"/>
        <v/>
      </c>
      <c r="K52" s="1068"/>
      <c r="L52" s="1068"/>
      <c r="M52" s="1129" t="str">
        <f t="shared" si="1"/>
        <v/>
      </c>
      <c r="N52" s="1068"/>
      <c r="O52" s="1068"/>
      <c r="P52" s="1129" t="str">
        <f t="shared" si="2"/>
        <v/>
      </c>
      <c r="Q52" s="1069"/>
      <c r="R52" s="1069"/>
      <c r="S52" s="1129" t="str">
        <f t="shared" si="3"/>
        <v/>
      </c>
      <c r="T52" s="1068"/>
      <c r="U52" s="1068"/>
      <c r="V52" s="1267" t="str">
        <f t="shared" si="5"/>
        <v/>
      </c>
      <c r="W52" s="1062"/>
      <c r="X52" s="1062"/>
      <c r="Y52" s="1062"/>
      <c r="Z52" s="1062"/>
      <c r="AA52" s="1062"/>
      <c r="AB52" s="1062"/>
      <c r="AC52" s="1062"/>
      <c r="AD52" s="1062"/>
      <c r="AE52" s="1062"/>
      <c r="AF52" s="1062"/>
      <c r="AG52" s="1062"/>
      <c r="AH52" s="1062"/>
      <c r="AI52" s="1062"/>
      <c r="AJ52" s="1062"/>
      <c r="AK52" s="1062"/>
      <c r="AL52" s="1062"/>
      <c r="AM52" s="1062"/>
      <c r="AN52" s="1062"/>
      <c r="AO52" s="1062"/>
      <c r="AP52" s="1062"/>
      <c r="AQ52" s="1062"/>
      <c r="AR52" s="1062"/>
      <c r="AS52" s="1062"/>
      <c r="AT52" s="1062"/>
      <c r="AU52" s="1062"/>
      <c r="AV52" s="1062"/>
      <c r="AW52" s="1062"/>
    </row>
    <row r="53" spans="2:49" x14ac:dyDescent="0.2">
      <c r="B53" s="1078"/>
      <c r="C53" s="1079"/>
      <c r="D53" s="1078"/>
      <c r="E53" s="1081"/>
      <c r="F53" s="1081"/>
      <c r="G53" s="1066"/>
      <c r="H53" s="1069"/>
      <c r="I53" s="1069"/>
      <c r="J53" s="1128" t="str">
        <f t="shared" si="0"/>
        <v/>
      </c>
      <c r="K53" s="1068"/>
      <c r="L53" s="1068"/>
      <c r="M53" s="1129" t="str">
        <f t="shared" si="1"/>
        <v/>
      </c>
      <c r="N53" s="1068"/>
      <c r="O53" s="1068"/>
      <c r="P53" s="1129" t="str">
        <f t="shared" si="2"/>
        <v/>
      </c>
      <c r="Q53" s="1069"/>
      <c r="R53" s="1069"/>
      <c r="S53" s="1129" t="str">
        <f t="shared" si="3"/>
        <v/>
      </c>
      <c r="T53" s="1068"/>
      <c r="U53" s="1068"/>
      <c r="V53" s="1267" t="str">
        <f t="shared" si="5"/>
        <v/>
      </c>
      <c r="W53" s="1062"/>
      <c r="X53" s="1062"/>
      <c r="Y53" s="1062"/>
      <c r="Z53" s="1062"/>
      <c r="AA53" s="1062"/>
      <c r="AB53" s="1062"/>
      <c r="AC53" s="1062"/>
      <c r="AD53" s="1062"/>
      <c r="AE53" s="1062"/>
      <c r="AF53" s="1062"/>
      <c r="AG53" s="1062"/>
      <c r="AH53" s="1062"/>
      <c r="AI53" s="1062"/>
      <c r="AJ53" s="1062"/>
      <c r="AK53" s="1062"/>
      <c r="AL53" s="1062"/>
      <c r="AM53" s="1062"/>
      <c r="AN53" s="1062"/>
      <c r="AO53" s="1062"/>
      <c r="AP53" s="1062"/>
      <c r="AQ53" s="1062"/>
      <c r="AR53" s="1062"/>
      <c r="AS53" s="1062"/>
      <c r="AT53" s="1062"/>
      <c r="AU53" s="1062"/>
      <c r="AV53" s="1062"/>
      <c r="AW53" s="1062"/>
    </row>
    <row r="54" spans="2:49" x14ac:dyDescent="0.2">
      <c r="B54" s="1078"/>
      <c r="C54" s="1079"/>
      <c r="D54" s="1078"/>
      <c r="E54" s="1081"/>
      <c r="F54" s="1081"/>
      <c r="G54" s="1066"/>
      <c r="H54" s="1069"/>
      <c r="I54" s="1069"/>
      <c r="J54" s="1128" t="str">
        <f t="shared" si="0"/>
        <v/>
      </c>
      <c r="K54" s="1068"/>
      <c r="L54" s="1068"/>
      <c r="M54" s="1129" t="str">
        <f t="shared" si="1"/>
        <v/>
      </c>
      <c r="N54" s="1068"/>
      <c r="O54" s="1068"/>
      <c r="P54" s="1129" t="str">
        <f t="shared" si="2"/>
        <v/>
      </c>
      <c r="Q54" s="1069"/>
      <c r="R54" s="1069"/>
      <c r="S54" s="1129" t="str">
        <f t="shared" si="3"/>
        <v/>
      </c>
      <c r="T54" s="1068"/>
      <c r="U54" s="1068"/>
      <c r="V54" s="1267" t="str">
        <f t="shared" si="5"/>
        <v/>
      </c>
      <c r="W54" s="1062"/>
      <c r="X54" s="1062"/>
      <c r="Y54" s="1062"/>
      <c r="Z54" s="1062"/>
      <c r="AA54" s="1062"/>
      <c r="AB54" s="1062"/>
      <c r="AC54" s="1062"/>
      <c r="AD54" s="1062"/>
      <c r="AE54" s="1062"/>
      <c r="AF54" s="1062"/>
      <c r="AG54" s="1062"/>
      <c r="AH54" s="1062"/>
      <c r="AI54" s="1062"/>
      <c r="AJ54" s="1062"/>
      <c r="AK54" s="1062"/>
      <c r="AL54" s="1062"/>
      <c r="AM54" s="1062"/>
      <c r="AN54" s="1062"/>
      <c r="AO54" s="1062"/>
      <c r="AP54" s="1062"/>
      <c r="AQ54" s="1062"/>
      <c r="AR54" s="1062"/>
      <c r="AS54" s="1062"/>
      <c r="AT54" s="1062"/>
      <c r="AU54" s="1062"/>
      <c r="AV54" s="1062"/>
      <c r="AW54" s="1062"/>
    </row>
    <row r="55" spans="2:49" x14ac:dyDescent="0.2">
      <c r="B55" s="1078"/>
      <c r="C55" s="1079"/>
      <c r="D55" s="1078"/>
      <c r="E55" s="1081"/>
      <c r="F55" s="1081"/>
      <c r="G55" s="1066"/>
      <c r="H55" s="1069"/>
      <c r="I55" s="1069"/>
      <c r="J55" s="1128" t="str">
        <f t="shared" si="0"/>
        <v/>
      </c>
      <c r="K55" s="1068"/>
      <c r="L55" s="1068"/>
      <c r="M55" s="1129" t="str">
        <f t="shared" si="1"/>
        <v/>
      </c>
      <c r="N55" s="1068"/>
      <c r="O55" s="1068"/>
      <c r="P55" s="1129" t="str">
        <f t="shared" si="2"/>
        <v/>
      </c>
      <c r="Q55" s="1069"/>
      <c r="R55" s="1069"/>
      <c r="S55" s="1129" t="str">
        <f t="shared" si="3"/>
        <v/>
      </c>
      <c r="T55" s="1068"/>
      <c r="U55" s="1068"/>
      <c r="V55" s="1267" t="str">
        <f t="shared" si="5"/>
        <v/>
      </c>
      <c r="W55" s="1062"/>
      <c r="X55" s="1062"/>
      <c r="Y55" s="1062"/>
      <c r="Z55" s="1062"/>
      <c r="AA55" s="1062"/>
      <c r="AB55" s="1062"/>
      <c r="AC55" s="1062"/>
      <c r="AD55" s="1062"/>
      <c r="AE55" s="1062"/>
      <c r="AF55" s="1062"/>
      <c r="AG55" s="1062"/>
      <c r="AH55" s="1062"/>
      <c r="AI55" s="1062"/>
      <c r="AJ55" s="1062"/>
      <c r="AK55" s="1062"/>
      <c r="AL55" s="1062"/>
      <c r="AM55" s="1062"/>
      <c r="AN55" s="1062"/>
      <c r="AO55" s="1062"/>
      <c r="AP55" s="1062"/>
      <c r="AQ55" s="1062"/>
      <c r="AR55" s="1062"/>
      <c r="AS55" s="1062"/>
      <c r="AT55" s="1062"/>
      <c r="AU55" s="1062"/>
      <c r="AV55" s="1062"/>
      <c r="AW55" s="1062"/>
    </row>
    <row r="56" spans="2:49" x14ac:dyDescent="0.2">
      <c r="B56" s="1078"/>
      <c r="C56" s="1079"/>
      <c r="D56" s="1078"/>
      <c r="E56" s="1081"/>
      <c r="F56" s="1081"/>
      <c r="G56" s="1066"/>
      <c r="H56" s="1069"/>
      <c r="I56" s="1069"/>
      <c r="J56" s="1128" t="str">
        <f t="shared" si="0"/>
        <v/>
      </c>
      <c r="K56" s="1068"/>
      <c r="L56" s="1068"/>
      <c r="M56" s="1129" t="str">
        <f t="shared" si="1"/>
        <v/>
      </c>
      <c r="N56" s="1068"/>
      <c r="O56" s="1068"/>
      <c r="P56" s="1129" t="str">
        <f t="shared" si="2"/>
        <v/>
      </c>
      <c r="Q56" s="1069"/>
      <c r="R56" s="1069"/>
      <c r="S56" s="1129" t="str">
        <f t="shared" si="3"/>
        <v/>
      </c>
      <c r="T56" s="1068"/>
      <c r="U56" s="1068"/>
      <c r="V56" s="1267" t="str">
        <f t="shared" si="5"/>
        <v/>
      </c>
      <c r="W56" s="1062"/>
      <c r="X56" s="1062"/>
      <c r="Y56" s="1062"/>
      <c r="Z56" s="1062"/>
      <c r="AA56" s="1062"/>
      <c r="AB56" s="1062"/>
      <c r="AC56" s="1062"/>
      <c r="AD56" s="1062"/>
      <c r="AE56" s="1062"/>
      <c r="AF56" s="1062"/>
      <c r="AG56" s="1062"/>
      <c r="AH56" s="1062"/>
      <c r="AI56" s="1062"/>
      <c r="AJ56" s="1062"/>
      <c r="AK56" s="1062"/>
      <c r="AL56" s="1062"/>
      <c r="AM56" s="1062"/>
      <c r="AN56" s="1062"/>
      <c r="AO56" s="1062"/>
      <c r="AP56" s="1062"/>
      <c r="AQ56" s="1062"/>
      <c r="AR56" s="1062"/>
      <c r="AS56" s="1062"/>
      <c r="AT56" s="1062"/>
      <c r="AU56" s="1062"/>
      <c r="AV56" s="1062"/>
      <c r="AW56" s="1062"/>
    </row>
    <row r="57" spans="2:49" x14ac:dyDescent="0.2">
      <c r="B57" s="1078"/>
      <c r="C57" s="1079"/>
      <c r="D57" s="1078"/>
      <c r="E57" s="1081"/>
      <c r="F57" s="1081"/>
      <c r="G57" s="1066"/>
      <c r="H57" s="1069"/>
      <c r="I57" s="1069"/>
      <c r="J57" s="1128" t="str">
        <f t="shared" si="0"/>
        <v/>
      </c>
      <c r="K57" s="1068"/>
      <c r="L57" s="1068"/>
      <c r="M57" s="1129" t="str">
        <f t="shared" si="1"/>
        <v/>
      </c>
      <c r="N57" s="1068"/>
      <c r="O57" s="1068"/>
      <c r="P57" s="1129" t="str">
        <f t="shared" si="2"/>
        <v/>
      </c>
      <c r="Q57" s="1069"/>
      <c r="R57" s="1069"/>
      <c r="S57" s="1129" t="str">
        <f t="shared" si="3"/>
        <v/>
      </c>
      <c r="T57" s="1068"/>
      <c r="U57" s="1068"/>
      <c r="V57" s="1267" t="str">
        <f t="shared" si="5"/>
        <v/>
      </c>
      <c r="W57" s="1062"/>
      <c r="X57" s="1062"/>
      <c r="Y57" s="1062"/>
      <c r="Z57" s="1062"/>
      <c r="AA57" s="1062"/>
      <c r="AB57" s="1062"/>
      <c r="AC57" s="1062"/>
      <c r="AD57" s="1062"/>
      <c r="AE57" s="1062"/>
      <c r="AF57" s="1062"/>
      <c r="AG57" s="1062"/>
      <c r="AH57" s="1062"/>
      <c r="AI57" s="1062"/>
      <c r="AJ57" s="1062"/>
      <c r="AK57" s="1062"/>
      <c r="AL57" s="1062"/>
      <c r="AM57" s="1062"/>
      <c r="AN57" s="1062"/>
      <c r="AO57" s="1062"/>
      <c r="AP57" s="1062"/>
      <c r="AQ57" s="1062"/>
      <c r="AR57" s="1062"/>
      <c r="AS57" s="1062"/>
      <c r="AT57" s="1062"/>
      <c r="AU57" s="1062"/>
      <c r="AV57" s="1062"/>
      <c r="AW57" s="1062"/>
    </row>
    <row r="58" spans="2:49" x14ac:dyDescent="0.2">
      <c r="B58" s="1078"/>
      <c r="C58" s="1079"/>
      <c r="D58" s="1078"/>
      <c r="E58" s="1081"/>
      <c r="F58" s="1081"/>
      <c r="G58" s="1066"/>
      <c r="H58" s="1069"/>
      <c r="I58" s="1069"/>
      <c r="J58" s="1128" t="str">
        <f t="shared" si="0"/>
        <v/>
      </c>
      <c r="K58" s="1068"/>
      <c r="L58" s="1068"/>
      <c r="M58" s="1129" t="str">
        <f t="shared" si="1"/>
        <v/>
      </c>
      <c r="N58" s="1068"/>
      <c r="O58" s="1068"/>
      <c r="P58" s="1129" t="str">
        <f t="shared" si="2"/>
        <v/>
      </c>
      <c r="Q58" s="1069"/>
      <c r="R58" s="1069"/>
      <c r="S58" s="1129" t="str">
        <f t="shared" si="3"/>
        <v/>
      </c>
      <c r="T58" s="1068"/>
      <c r="U58" s="1068"/>
      <c r="V58" s="1267" t="str">
        <f t="shared" si="5"/>
        <v/>
      </c>
      <c r="W58" s="1062"/>
      <c r="X58" s="1062"/>
      <c r="Y58" s="1062"/>
      <c r="Z58" s="1062"/>
      <c r="AA58" s="1062"/>
      <c r="AB58" s="1062"/>
      <c r="AC58" s="1062"/>
      <c r="AD58" s="1062"/>
      <c r="AE58" s="1062"/>
      <c r="AF58" s="1062"/>
      <c r="AG58" s="1062"/>
      <c r="AH58" s="1062"/>
      <c r="AI58" s="1062"/>
      <c r="AJ58" s="1062"/>
      <c r="AK58" s="1062"/>
      <c r="AL58" s="1062"/>
      <c r="AM58" s="1062"/>
      <c r="AN58" s="1062"/>
      <c r="AO58" s="1062"/>
      <c r="AP58" s="1062"/>
      <c r="AQ58" s="1062"/>
      <c r="AR58" s="1062"/>
      <c r="AS58" s="1062"/>
      <c r="AT58" s="1062"/>
      <c r="AU58" s="1062"/>
      <c r="AV58" s="1062"/>
      <c r="AW58" s="1062"/>
    </row>
    <row r="59" spans="2:49" x14ac:dyDescent="0.2">
      <c r="B59" s="1078"/>
      <c r="C59" s="1079"/>
      <c r="D59" s="1078"/>
      <c r="E59" s="1083"/>
      <c r="F59" s="1083"/>
      <c r="G59" s="1066"/>
      <c r="H59" s="1069"/>
      <c r="I59" s="1069"/>
      <c r="J59" s="1128" t="str">
        <f t="shared" si="0"/>
        <v/>
      </c>
      <c r="K59" s="1069"/>
      <c r="L59" s="1069"/>
      <c r="M59" s="1129" t="str">
        <f t="shared" si="1"/>
        <v/>
      </c>
      <c r="N59" s="1069"/>
      <c r="O59" s="1069"/>
      <c r="P59" s="1129" t="str">
        <f t="shared" si="2"/>
        <v/>
      </c>
      <c r="Q59" s="1069"/>
      <c r="R59" s="1069"/>
      <c r="S59" s="1129" t="str">
        <f t="shared" si="3"/>
        <v/>
      </c>
      <c r="T59" s="1068"/>
      <c r="U59" s="1069"/>
      <c r="V59" s="1267" t="str">
        <f t="shared" si="5"/>
        <v/>
      </c>
      <c r="W59" s="1062"/>
      <c r="X59" s="1062"/>
      <c r="Y59" s="1062"/>
      <c r="Z59" s="1062"/>
      <c r="AA59" s="1062"/>
      <c r="AB59" s="1062"/>
      <c r="AC59" s="1062"/>
      <c r="AD59" s="1062"/>
      <c r="AE59" s="1062"/>
      <c r="AF59" s="1062"/>
      <c r="AG59" s="1062"/>
      <c r="AH59" s="1062"/>
      <c r="AI59" s="1062"/>
      <c r="AJ59" s="1062"/>
      <c r="AK59" s="1062"/>
      <c r="AL59" s="1062"/>
      <c r="AM59" s="1062"/>
      <c r="AN59" s="1062"/>
      <c r="AO59" s="1062"/>
      <c r="AP59" s="1062"/>
      <c r="AQ59" s="1062"/>
      <c r="AR59" s="1062"/>
      <c r="AS59" s="1062"/>
      <c r="AT59" s="1062"/>
      <c r="AU59" s="1062"/>
      <c r="AV59" s="1062"/>
      <c r="AW59" s="1062"/>
    </row>
    <row r="60" spans="2:49" x14ac:dyDescent="0.2">
      <c r="B60" s="1078"/>
      <c r="C60" s="1079"/>
      <c r="D60" s="1078"/>
      <c r="E60" s="1083"/>
      <c r="F60" s="1083"/>
      <c r="G60" s="1066"/>
      <c r="H60" s="1069"/>
      <c r="I60" s="1069"/>
      <c r="J60" s="1128" t="str">
        <f t="shared" si="0"/>
        <v/>
      </c>
      <c r="K60" s="1069"/>
      <c r="L60" s="1069"/>
      <c r="M60" s="1129" t="str">
        <f t="shared" si="1"/>
        <v/>
      </c>
      <c r="N60" s="1069"/>
      <c r="O60" s="1069"/>
      <c r="P60" s="1129" t="str">
        <f t="shared" si="2"/>
        <v/>
      </c>
      <c r="Q60" s="1069"/>
      <c r="R60" s="1069"/>
      <c r="S60" s="1129" t="str">
        <f t="shared" si="3"/>
        <v/>
      </c>
      <c r="T60" s="1068"/>
      <c r="U60" s="1069"/>
      <c r="V60" s="1267" t="str">
        <f t="shared" si="5"/>
        <v/>
      </c>
      <c r="W60" s="1062"/>
      <c r="X60" s="1062"/>
      <c r="Y60" s="1062"/>
      <c r="Z60" s="1062"/>
      <c r="AA60" s="1062"/>
      <c r="AB60" s="1062"/>
      <c r="AC60" s="1062"/>
      <c r="AD60" s="1062"/>
      <c r="AE60" s="1062"/>
      <c r="AF60" s="1062"/>
      <c r="AG60" s="1062"/>
      <c r="AH60" s="1062"/>
      <c r="AI60" s="1062"/>
      <c r="AJ60" s="1062"/>
      <c r="AK60" s="1062"/>
      <c r="AL60" s="1062"/>
      <c r="AM60" s="1062"/>
      <c r="AN60" s="1062"/>
      <c r="AO60" s="1062"/>
      <c r="AP60" s="1062"/>
      <c r="AQ60" s="1062"/>
      <c r="AR60" s="1062"/>
      <c r="AS60" s="1062"/>
      <c r="AT60" s="1062"/>
      <c r="AU60" s="1062"/>
      <c r="AV60" s="1062"/>
      <c r="AW60" s="1062"/>
    </row>
    <row r="61" spans="2:49" x14ac:dyDescent="0.2">
      <c r="B61" s="1078"/>
      <c r="C61" s="1079"/>
      <c r="D61" s="1078"/>
      <c r="E61" s="1083"/>
      <c r="F61" s="1083"/>
      <c r="G61" s="1066"/>
      <c r="H61" s="1069"/>
      <c r="I61" s="1069"/>
      <c r="J61" s="1128" t="str">
        <f t="shared" si="0"/>
        <v/>
      </c>
      <c r="K61" s="1069"/>
      <c r="L61" s="1069"/>
      <c r="M61" s="1129" t="str">
        <f t="shared" si="1"/>
        <v/>
      </c>
      <c r="N61" s="1069"/>
      <c r="O61" s="1069"/>
      <c r="P61" s="1129" t="str">
        <f t="shared" si="2"/>
        <v/>
      </c>
      <c r="Q61" s="1069"/>
      <c r="R61" s="1069"/>
      <c r="S61" s="1129" t="str">
        <f t="shared" si="3"/>
        <v/>
      </c>
      <c r="T61" s="1068"/>
      <c r="U61" s="1069"/>
      <c r="V61" s="1267" t="str">
        <f t="shared" si="5"/>
        <v/>
      </c>
      <c r="W61" s="1062"/>
      <c r="X61" s="1062"/>
      <c r="Y61" s="1062"/>
      <c r="Z61" s="1062"/>
      <c r="AA61" s="1062"/>
      <c r="AB61" s="1062"/>
      <c r="AC61" s="1062"/>
      <c r="AD61" s="1062"/>
      <c r="AE61" s="1062"/>
      <c r="AF61" s="1062"/>
      <c r="AG61" s="1062"/>
      <c r="AH61" s="1062"/>
      <c r="AI61" s="1062"/>
      <c r="AJ61" s="1062"/>
      <c r="AK61" s="1062"/>
      <c r="AL61" s="1062"/>
      <c r="AM61" s="1062"/>
      <c r="AN61" s="1062"/>
      <c r="AO61" s="1062"/>
      <c r="AP61" s="1062"/>
      <c r="AQ61" s="1062"/>
      <c r="AR61" s="1062"/>
      <c r="AS61" s="1062"/>
      <c r="AT61" s="1062"/>
      <c r="AU61" s="1062"/>
      <c r="AV61" s="1062"/>
      <c r="AW61" s="1062"/>
    </row>
    <row r="62" spans="2:49" x14ac:dyDescent="0.2">
      <c r="B62" s="1078"/>
      <c r="C62" s="1079"/>
      <c r="D62" s="1078"/>
      <c r="E62" s="1083"/>
      <c r="F62" s="1083"/>
      <c r="G62" s="1066"/>
      <c r="H62" s="1069"/>
      <c r="I62" s="1069"/>
      <c r="J62" s="1128" t="str">
        <f t="shared" si="0"/>
        <v/>
      </c>
      <c r="K62" s="1069"/>
      <c r="L62" s="1069"/>
      <c r="M62" s="1129" t="str">
        <f t="shared" si="1"/>
        <v/>
      </c>
      <c r="N62" s="1069"/>
      <c r="O62" s="1069"/>
      <c r="P62" s="1129" t="str">
        <f t="shared" si="2"/>
        <v/>
      </c>
      <c r="Q62" s="1069"/>
      <c r="R62" s="1069"/>
      <c r="S62" s="1129" t="str">
        <f t="shared" si="3"/>
        <v/>
      </c>
      <c r="T62" s="1068"/>
      <c r="U62" s="1069"/>
      <c r="V62" s="1267" t="str">
        <f t="shared" si="5"/>
        <v/>
      </c>
      <c r="W62" s="1062"/>
      <c r="X62" s="1062"/>
      <c r="Y62" s="1062"/>
      <c r="Z62" s="1062"/>
      <c r="AA62" s="1062"/>
      <c r="AB62" s="1062"/>
      <c r="AC62" s="1062"/>
      <c r="AD62" s="1062"/>
      <c r="AE62" s="1062"/>
      <c r="AF62" s="1062"/>
      <c r="AG62" s="1062"/>
      <c r="AH62" s="1062"/>
      <c r="AI62" s="1062"/>
      <c r="AJ62" s="1062"/>
      <c r="AK62" s="1062"/>
      <c r="AL62" s="1062"/>
      <c r="AM62" s="1062"/>
      <c r="AN62" s="1062"/>
      <c r="AO62" s="1062"/>
      <c r="AP62" s="1062"/>
      <c r="AQ62" s="1062"/>
      <c r="AR62" s="1062"/>
      <c r="AS62" s="1062"/>
      <c r="AT62" s="1062"/>
      <c r="AU62" s="1062"/>
      <c r="AV62" s="1062"/>
      <c r="AW62" s="1062"/>
    </row>
    <row r="63" spans="2:49" x14ac:dyDescent="0.2">
      <c r="B63" s="1078"/>
      <c r="C63" s="1079"/>
      <c r="D63" s="1078"/>
      <c r="E63" s="1083"/>
      <c r="F63" s="1083"/>
      <c r="G63" s="1066"/>
      <c r="H63" s="1069"/>
      <c r="I63" s="1069"/>
      <c r="J63" s="1128" t="str">
        <f t="shared" si="0"/>
        <v/>
      </c>
      <c r="K63" s="1069"/>
      <c r="L63" s="1069"/>
      <c r="M63" s="1129" t="str">
        <f t="shared" si="1"/>
        <v/>
      </c>
      <c r="N63" s="1069"/>
      <c r="O63" s="1069"/>
      <c r="P63" s="1129" t="str">
        <f t="shared" si="2"/>
        <v/>
      </c>
      <c r="Q63" s="1069"/>
      <c r="R63" s="1069"/>
      <c r="S63" s="1129" t="str">
        <f t="shared" si="3"/>
        <v/>
      </c>
      <c r="T63" s="1068"/>
      <c r="U63" s="1069"/>
      <c r="V63" s="1267" t="str">
        <f t="shared" si="5"/>
        <v/>
      </c>
      <c r="W63" s="1062"/>
      <c r="X63" s="1062"/>
      <c r="Y63" s="1062"/>
      <c r="Z63" s="1062"/>
      <c r="AA63" s="1062"/>
      <c r="AB63" s="1062"/>
      <c r="AC63" s="1062"/>
      <c r="AD63" s="1062"/>
      <c r="AE63" s="1062"/>
      <c r="AF63" s="1062"/>
      <c r="AG63" s="1062"/>
      <c r="AH63" s="1062"/>
      <c r="AI63" s="1062"/>
      <c r="AJ63" s="1062"/>
      <c r="AK63" s="1062"/>
      <c r="AL63" s="1062"/>
      <c r="AM63" s="1062"/>
      <c r="AN63" s="1062"/>
      <c r="AO63" s="1062"/>
      <c r="AP63" s="1062"/>
      <c r="AQ63" s="1062"/>
      <c r="AR63" s="1062"/>
      <c r="AS63" s="1062"/>
      <c r="AT63" s="1062"/>
      <c r="AU63" s="1062"/>
      <c r="AV63" s="1062"/>
      <c r="AW63" s="1062"/>
    </row>
    <row r="64" spans="2:49" x14ac:dyDescent="0.2">
      <c r="B64" s="1078"/>
      <c r="C64" s="1079"/>
      <c r="D64" s="1078"/>
      <c r="E64" s="1083"/>
      <c r="F64" s="1083"/>
      <c r="G64" s="1066"/>
      <c r="H64" s="1069"/>
      <c r="I64" s="1069"/>
      <c r="J64" s="1128" t="str">
        <f t="shared" si="0"/>
        <v/>
      </c>
      <c r="K64" s="1069"/>
      <c r="L64" s="1069"/>
      <c r="M64" s="1129" t="str">
        <f t="shared" si="1"/>
        <v/>
      </c>
      <c r="N64" s="1069"/>
      <c r="O64" s="1069"/>
      <c r="P64" s="1129" t="str">
        <f t="shared" si="2"/>
        <v/>
      </c>
      <c r="Q64" s="1069"/>
      <c r="R64" s="1069"/>
      <c r="S64" s="1129" t="str">
        <f t="shared" si="3"/>
        <v/>
      </c>
      <c r="T64" s="1068"/>
      <c r="U64" s="1069"/>
      <c r="V64" s="1267" t="str">
        <f t="shared" si="5"/>
        <v/>
      </c>
      <c r="W64" s="1062"/>
      <c r="X64" s="1062"/>
      <c r="Y64" s="1062"/>
      <c r="Z64" s="1062"/>
      <c r="AA64" s="1062"/>
      <c r="AB64" s="1062"/>
      <c r="AC64" s="1062"/>
      <c r="AD64" s="1062"/>
      <c r="AE64" s="1062"/>
      <c r="AF64" s="1062"/>
      <c r="AG64" s="1062"/>
      <c r="AH64" s="1062"/>
      <c r="AI64" s="1062"/>
      <c r="AJ64" s="1062"/>
      <c r="AK64" s="1062"/>
      <c r="AL64" s="1062"/>
      <c r="AM64" s="1062"/>
      <c r="AN64" s="1062"/>
      <c r="AO64" s="1062"/>
      <c r="AP64" s="1062"/>
      <c r="AQ64" s="1062"/>
      <c r="AR64" s="1062"/>
      <c r="AS64" s="1062"/>
      <c r="AT64" s="1062"/>
      <c r="AU64" s="1062"/>
      <c r="AV64" s="1062"/>
      <c r="AW64" s="1062"/>
    </row>
    <row r="65" spans="2:49" x14ac:dyDescent="0.2">
      <c r="B65" s="1078"/>
      <c r="C65" s="1079"/>
      <c r="D65" s="1078"/>
      <c r="E65" s="1083"/>
      <c r="F65" s="1083"/>
      <c r="G65" s="1066"/>
      <c r="H65" s="1069"/>
      <c r="I65" s="1069"/>
      <c r="J65" s="1128" t="str">
        <f t="shared" si="0"/>
        <v/>
      </c>
      <c r="K65" s="1069"/>
      <c r="L65" s="1069"/>
      <c r="M65" s="1129" t="str">
        <f t="shared" si="1"/>
        <v/>
      </c>
      <c r="N65" s="1069"/>
      <c r="O65" s="1069"/>
      <c r="P65" s="1129" t="str">
        <f t="shared" si="2"/>
        <v/>
      </c>
      <c r="Q65" s="1069"/>
      <c r="R65" s="1069"/>
      <c r="S65" s="1129" t="str">
        <f t="shared" si="3"/>
        <v/>
      </c>
      <c r="T65" s="1068"/>
      <c r="U65" s="1069"/>
      <c r="V65" s="1267" t="str">
        <f t="shared" si="5"/>
        <v/>
      </c>
      <c r="W65" s="1062"/>
      <c r="X65" s="1062"/>
      <c r="Y65" s="1062"/>
      <c r="Z65" s="1062"/>
      <c r="AA65" s="1062"/>
      <c r="AB65" s="1062"/>
      <c r="AC65" s="1062"/>
      <c r="AD65" s="1062"/>
      <c r="AE65" s="1062"/>
      <c r="AF65" s="1062"/>
      <c r="AG65" s="1062"/>
      <c r="AH65" s="1062"/>
      <c r="AI65" s="1062"/>
      <c r="AJ65" s="1062"/>
      <c r="AK65" s="1062"/>
      <c r="AL65" s="1062"/>
      <c r="AM65" s="1062"/>
      <c r="AN65" s="1062"/>
      <c r="AO65" s="1062"/>
      <c r="AP65" s="1062"/>
      <c r="AQ65" s="1062"/>
      <c r="AR65" s="1062"/>
      <c r="AS65" s="1062"/>
      <c r="AT65" s="1062"/>
      <c r="AU65" s="1062"/>
      <c r="AV65" s="1062"/>
      <c r="AW65" s="1062"/>
    </row>
    <row r="66" spans="2:49" x14ac:dyDescent="0.2">
      <c r="B66" s="1078"/>
      <c r="C66" s="1079"/>
      <c r="D66" s="1078"/>
      <c r="E66" s="1083"/>
      <c r="F66" s="1083"/>
      <c r="G66" s="1066"/>
      <c r="H66" s="1069"/>
      <c r="I66" s="1069"/>
      <c r="J66" s="1128" t="str">
        <f t="shared" si="0"/>
        <v/>
      </c>
      <c r="K66" s="1069"/>
      <c r="L66" s="1069"/>
      <c r="M66" s="1129" t="str">
        <f t="shared" si="1"/>
        <v/>
      </c>
      <c r="N66" s="1069"/>
      <c r="O66" s="1069"/>
      <c r="P66" s="1129" t="str">
        <f t="shared" si="2"/>
        <v/>
      </c>
      <c r="Q66" s="1069"/>
      <c r="R66" s="1069"/>
      <c r="S66" s="1129" t="str">
        <f t="shared" si="3"/>
        <v/>
      </c>
      <c r="T66" s="1068"/>
      <c r="U66" s="1069"/>
      <c r="V66" s="1267" t="str">
        <f t="shared" si="5"/>
        <v/>
      </c>
      <c r="W66" s="1062"/>
      <c r="X66" s="1062"/>
      <c r="Y66" s="1062"/>
      <c r="Z66" s="1062"/>
      <c r="AA66" s="1062"/>
      <c r="AB66" s="1062"/>
      <c r="AC66" s="1062"/>
      <c r="AD66" s="1062"/>
      <c r="AE66" s="1062"/>
      <c r="AF66" s="1062"/>
      <c r="AG66" s="1062"/>
      <c r="AH66" s="1062"/>
      <c r="AI66" s="1062"/>
      <c r="AJ66" s="1062"/>
      <c r="AK66" s="1062"/>
      <c r="AL66" s="1062"/>
      <c r="AM66" s="1062"/>
      <c r="AN66" s="1062"/>
      <c r="AO66" s="1062"/>
      <c r="AP66" s="1062"/>
      <c r="AQ66" s="1062"/>
      <c r="AR66" s="1062"/>
      <c r="AS66" s="1062"/>
      <c r="AT66" s="1062"/>
      <c r="AU66" s="1062"/>
      <c r="AV66" s="1062"/>
      <c r="AW66" s="1062"/>
    </row>
    <row r="67" spans="2:49" x14ac:dyDescent="0.2">
      <c r="B67" s="1078"/>
      <c r="C67" s="1079"/>
      <c r="D67" s="1078"/>
      <c r="E67" s="1081"/>
      <c r="F67" s="1081"/>
      <c r="G67" s="1066"/>
      <c r="H67" s="1069"/>
      <c r="I67" s="1069"/>
      <c r="J67" s="1128" t="str">
        <f t="shared" si="0"/>
        <v/>
      </c>
      <c r="K67" s="1069"/>
      <c r="L67" s="1069"/>
      <c r="M67" s="1129" t="str">
        <f t="shared" si="1"/>
        <v/>
      </c>
      <c r="N67" s="1069"/>
      <c r="O67" s="1069"/>
      <c r="P67" s="1129" t="str">
        <f t="shared" si="2"/>
        <v/>
      </c>
      <c r="Q67" s="1069"/>
      <c r="R67" s="1069"/>
      <c r="S67" s="1129" t="str">
        <f t="shared" si="3"/>
        <v/>
      </c>
      <c r="T67" s="1068"/>
      <c r="U67" s="1069"/>
      <c r="V67" s="1267" t="str">
        <f t="shared" si="5"/>
        <v/>
      </c>
      <c r="W67" s="1062"/>
      <c r="X67" s="1062"/>
      <c r="Y67" s="1062"/>
      <c r="Z67" s="1062"/>
      <c r="AA67" s="1062"/>
      <c r="AB67" s="1062"/>
      <c r="AC67" s="1062"/>
      <c r="AD67" s="1062"/>
      <c r="AE67" s="1062"/>
      <c r="AF67" s="1062"/>
      <c r="AG67" s="1062"/>
      <c r="AH67" s="1062"/>
      <c r="AI67" s="1062"/>
      <c r="AJ67" s="1062"/>
      <c r="AK67" s="1062"/>
      <c r="AL67" s="1062"/>
      <c r="AM67" s="1062"/>
      <c r="AN67" s="1062"/>
      <c r="AO67" s="1062"/>
      <c r="AP67" s="1062"/>
      <c r="AQ67" s="1062"/>
      <c r="AR67" s="1062"/>
      <c r="AS67" s="1062"/>
      <c r="AT67" s="1062"/>
      <c r="AU67" s="1062"/>
      <c r="AV67" s="1062"/>
      <c r="AW67" s="1062"/>
    </row>
    <row r="68" spans="2:49" x14ac:dyDescent="0.2">
      <c r="B68" s="1078"/>
      <c r="C68" s="1079"/>
      <c r="D68" s="1078"/>
      <c r="E68" s="1081"/>
      <c r="F68" s="1081"/>
      <c r="G68" s="1066"/>
      <c r="H68" s="1069"/>
      <c r="I68" s="1069"/>
      <c r="J68" s="1128" t="str">
        <f t="shared" si="0"/>
        <v/>
      </c>
      <c r="K68" s="1069"/>
      <c r="L68" s="1069"/>
      <c r="M68" s="1129" t="str">
        <f t="shared" si="1"/>
        <v/>
      </c>
      <c r="N68" s="1069"/>
      <c r="O68" s="1069"/>
      <c r="P68" s="1129" t="str">
        <f t="shared" si="2"/>
        <v/>
      </c>
      <c r="Q68" s="1069"/>
      <c r="R68" s="1069"/>
      <c r="S68" s="1129" t="str">
        <f t="shared" si="3"/>
        <v/>
      </c>
      <c r="T68" s="1068"/>
      <c r="U68" s="1069"/>
      <c r="V68" s="1267" t="str">
        <f t="shared" si="5"/>
        <v/>
      </c>
      <c r="W68" s="1062"/>
      <c r="X68" s="1062"/>
      <c r="Y68" s="1062"/>
      <c r="Z68" s="1062"/>
      <c r="AA68" s="1062"/>
      <c r="AB68" s="1062"/>
      <c r="AC68" s="1062"/>
      <c r="AD68" s="1062"/>
      <c r="AE68" s="1062"/>
      <c r="AF68" s="1062"/>
      <c r="AG68" s="1062"/>
      <c r="AH68" s="1062"/>
      <c r="AI68" s="1062"/>
      <c r="AJ68" s="1062"/>
      <c r="AK68" s="1062"/>
      <c r="AL68" s="1062"/>
      <c r="AM68" s="1062"/>
      <c r="AN68" s="1062"/>
      <c r="AO68" s="1062"/>
      <c r="AP68" s="1062"/>
      <c r="AQ68" s="1062"/>
      <c r="AR68" s="1062"/>
      <c r="AS68" s="1062"/>
      <c r="AT68" s="1062"/>
      <c r="AU68" s="1062"/>
      <c r="AV68" s="1062"/>
      <c r="AW68" s="1062"/>
    </row>
    <row r="69" spans="2:49" x14ac:dyDescent="0.2">
      <c r="B69" s="1078"/>
      <c r="C69" s="1079"/>
      <c r="D69" s="1078"/>
      <c r="E69" s="1081"/>
      <c r="F69" s="1081"/>
      <c r="G69" s="1066"/>
      <c r="H69" s="1069"/>
      <c r="I69" s="1069"/>
      <c r="J69" s="1128" t="str">
        <f t="shared" si="0"/>
        <v/>
      </c>
      <c r="K69" s="1069"/>
      <c r="L69" s="1069"/>
      <c r="M69" s="1129" t="str">
        <f t="shared" si="1"/>
        <v/>
      </c>
      <c r="N69" s="1069"/>
      <c r="O69" s="1069"/>
      <c r="P69" s="1129" t="str">
        <f t="shared" si="2"/>
        <v/>
      </c>
      <c r="Q69" s="1069"/>
      <c r="R69" s="1069"/>
      <c r="S69" s="1129" t="str">
        <f t="shared" si="3"/>
        <v/>
      </c>
      <c r="T69" s="1068"/>
      <c r="U69" s="1069"/>
      <c r="V69" s="1267" t="str">
        <f t="shared" si="5"/>
        <v/>
      </c>
      <c r="W69" s="1062"/>
      <c r="X69" s="1062"/>
      <c r="Y69" s="1062"/>
      <c r="Z69" s="1062"/>
      <c r="AA69" s="1062"/>
      <c r="AB69" s="1062"/>
      <c r="AC69" s="1062"/>
      <c r="AD69" s="1062"/>
      <c r="AE69" s="1062"/>
      <c r="AF69" s="1062"/>
      <c r="AG69" s="1062"/>
      <c r="AH69" s="1062"/>
      <c r="AI69" s="1062"/>
      <c r="AJ69" s="1062"/>
      <c r="AK69" s="1062"/>
      <c r="AL69" s="1062"/>
      <c r="AM69" s="1062"/>
      <c r="AN69" s="1062"/>
      <c r="AO69" s="1062"/>
      <c r="AP69" s="1062"/>
      <c r="AQ69" s="1062"/>
      <c r="AR69" s="1062"/>
      <c r="AS69" s="1062"/>
      <c r="AT69" s="1062"/>
      <c r="AU69" s="1062"/>
      <c r="AV69" s="1062"/>
      <c r="AW69" s="1062"/>
    </row>
    <row r="70" spans="2:49" x14ac:dyDescent="0.2">
      <c r="B70" s="1078"/>
      <c r="C70" s="1079"/>
      <c r="D70" s="1078"/>
      <c r="E70" s="1081"/>
      <c r="F70" s="1081"/>
      <c r="G70" s="1066"/>
      <c r="H70" s="1069"/>
      <c r="I70" s="1069"/>
      <c r="J70" s="1128" t="str">
        <f t="shared" si="0"/>
        <v/>
      </c>
      <c r="K70" s="1069"/>
      <c r="L70" s="1069"/>
      <c r="M70" s="1129" t="str">
        <f t="shared" si="1"/>
        <v/>
      </c>
      <c r="N70" s="1069"/>
      <c r="O70" s="1069"/>
      <c r="P70" s="1129" t="str">
        <f t="shared" si="2"/>
        <v/>
      </c>
      <c r="Q70" s="1069"/>
      <c r="R70" s="1069"/>
      <c r="S70" s="1129" t="str">
        <f t="shared" si="3"/>
        <v/>
      </c>
      <c r="T70" s="1068"/>
      <c r="U70" s="1069"/>
      <c r="V70" s="1267" t="str">
        <f t="shared" si="5"/>
        <v/>
      </c>
      <c r="W70" s="1062"/>
      <c r="X70" s="1062"/>
      <c r="Y70" s="1062"/>
      <c r="Z70" s="1062"/>
      <c r="AA70" s="1062"/>
      <c r="AB70" s="1062"/>
      <c r="AC70" s="1062"/>
      <c r="AD70" s="1062"/>
      <c r="AE70" s="1062"/>
      <c r="AF70" s="1062"/>
      <c r="AG70" s="1062"/>
      <c r="AH70" s="1062"/>
      <c r="AI70" s="1062"/>
      <c r="AJ70" s="1062"/>
      <c r="AK70" s="1062"/>
      <c r="AL70" s="1062"/>
      <c r="AM70" s="1062"/>
      <c r="AN70" s="1062"/>
      <c r="AO70" s="1062"/>
      <c r="AP70" s="1062"/>
      <c r="AQ70" s="1062"/>
      <c r="AR70" s="1062"/>
      <c r="AS70" s="1062"/>
      <c r="AT70" s="1062"/>
      <c r="AU70" s="1062"/>
      <c r="AV70" s="1062"/>
      <c r="AW70" s="1062"/>
    </row>
    <row r="71" spans="2:49" x14ac:dyDescent="0.2">
      <c r="B71" s="1078"/>
      <c r="C71" s="1079"/>
      <c r="D71" s="1078"/>
      <c r="E71" s="1081"/>
      <c r="F71" s="1081"/>
      <c r="G71" s="1066"/>
      <c r="H71" s="1069"/>
      <c r="I71" s="1069"/>
      <c r="J71" s="1128" t="str">
        <f t="shared" si="0"/>
        <v/>
      </c>
      <c r="K71" s="1069"/>
      <c r="L71" s="1069"/>
      <c r="M71" s="1129" t="str">
        <f t="shared" si="1"/>
        <v/>
      </c>
      <c r="N71" s="1069"/>
      <c r="O71" s="1069"/>
      <c r="P71" s="1129" t="str">
        <f t="shared" si="2"/>
        <v/>
      </c>
      <c r="Q71" s="1069"/>
      <c r="R71" s="1069"/>
      <c r="S71" s="1129" t="str">
        <f t="shared" si="3"/>
        <v/>
      </c>
      <c r="T71" s="1068"/>
      <c r="U71" s="1069"/>
      <c r="V71" s="1267" t="str">
        <f t="shared" si="5"/>
        <v/>
      </c>
      <c r="W71" s="1062"/>
      <c r="X71" s="1062"/>
      <c r="Y71" s="1062"/>
      <c r="Z71" s="1062"/>
      <c r="AA71" s="1062"/>
      <c r="AB71" s="1062"/>
      <c r="AC71" s="1062"/>
      <c r="AD71" s="1062"/>
      <c r="AE71" s="1062"/>
      <c r="AF71" s="1062"/>
      <c r="AG71" s="1062"/>
      <c r="AH71" s="1062"/>
      <c r="AI71" s="1062"/>
      <c r="AJ71" s="1062"/>
      <c r="AK71" s="1062"/>
      <c r="AL71" s="1062"/>
      <c r="AM71" s="1062"/>
      <c r="AN71" s="1062"/>
      <c r="AO71" s="1062"/>
      <c r="AP71" s="1062"/>
      <c r="AQ71" s="1062"/>
      <c r="AR71" s="1062"/>
      <c r="AS71" s="1062"/>
      <c r="AT71" s="1062"/>
      <c r="AU71" s="1062"/>
      <c r="AV71" s="1062"/>
      <c r="AW71" s="1062"/>
    </row>
    <row r="72" spans="2:49" x14ac:dyDescent="0.2">
      <c r="B72" s="1078"/>
      <c r="C72" s="1079"/>
      <c r="D72" s="1078"/>
      <c r="E72" s="1081"/>
      <c r="F72" s="1081"/>
      <c r="G72" s="1066"/>
      <c r="H72" s="1069"/>
      <c r="I72" s="1069"/>
      <c r="J72" s="1128" t="str">
        <f t="shared" si="0"/>
        <v/>
      </c>
      <c r="K72" s="1069"/>
      <c r="L72" s="1069"/>
      <c r="M72" s="1129" t="str">
        <f t="shared" si="1"/>
        <v/>
      </c>
      <c r="N72" s="1069"/>
      <c r="O72" s="1069"/>
      <c r="P72" s="1129" t="str">
        <f t="shared" si="2"/>
        <v/>
      </c>
      <c r="Q72" s="1069"/>
      <c r="R72" s="1069"/>
      <c r="S72" s="1129" t="str">
        <f t="shared" si="3"/>
        <v/>
      </c>
      <c r="T72" s="1068"/>
      <c r="U72" s="1069"/>
      <c r="V72" s="1267" t="str">
        <f t="shared" si="5"/>
        <v/>
      </c>
      <c r="W72" s="1062"/>
      <c r="X72" s="1062"/>
      <c r="Y72" s="1062"/>
      <c r="Z72" s="1062"/>
      <c r="AA72" s="1062"/>
      <c r="AB72" s="1062"/>
      <c r="AC72" s="1062"/>
      <c r="AD72" s="1062"/>
      <c r="AE72" s="1062"/>
      <c r="AF72" s="1062"/>
      <c r="AG72" s="1062"/>
      <c r="AH72" s="1062"/>
      <c r="AI72" s="1062"/>
      <c r="AJ72" s="1062"/>
      <c r="AK72" s="1062"/>
      <c r="AL72" s="1062"/>
      <c r="AM72" s="1062"/>
      <c r="AN72" s="1062"/>
      <c r="AO72" s="1062"/>
      <c r="AP72" s="1062"/>
      <c r="AQ72" s="1062"/>
      <c r="AR72" s="1062"/>
      <c r="AS72" s="1062"/>
      <c r="AT72" s="1062"/>
      <c r="AU72" s="1062"/>
      <c r="AV72" s="1062"/>
      <c r="AW72" s="1062"/>
    </row>
    <row r="73" spans="2:49" x14ac:dyDescent="0.2">
      <c r="B73" s="1078"/>
      <c r="C73" s="1079"/>
      <c r="D73" s="1078"/>
      <c r="E73" s="1081"/>
      <c r="F73" s="1081"/>
      <c r="G73" s="1066"/>
      <c r="H73" s="1069"/>
      <c r="I73" s="1069"/>
      <c r="J73" s="1128" t="str">
        <f t="shared" si="0"/>
        <v/>
      </c>
      <c r="K73" s="1069"/>
      <c r="L73" s="1069"/>
      <c r="M73" s="1129" t="str">
        <f t="shared" si="1"/>
        <v/>
      </c>
      <c r="N73" s="1069"/>
      <c r="O73" s="1069"/>
      <c r="P73" s="1129" t="str">
        <f t="shared" si="2"/>
        <v/>
      </c>
      <c r="Q73" s="1069"/>
      <c r="R73" s="1069"/>
      <c r="S73" s="1129" t="str">
        <f t="shared" si="3"/>
        <v/>
      </c>
      <c r="T73" s="1068"/>
      <c r="U73" s="1069"/>
      <c r="V73" s="1267" t="str">
        <f t="shared" si="5"/>
        <v/>
      </c>
      <c r="W73" s="1062"/>
      <c r="X73" s="1062"/>
      <c r="Y73" s="1062"/>
      <c r="Z73" s="1062"/>
      <c r="AA73" s="1062"/>
      <c r="AB73" s="1062"/>
      <c r="AC73" s="1062"/>
      <c r="AD73" s="1062"/>
      <c r="AE73" s="1062"/>
      <c r="AF73" s="1062"/>
      <c r="AG73" s="1062"/>
      <c r="AH73" s="1062"/>
      <c r="AI73" s="1062"/>
      <c r="AJ73" s="1062"/>
      <c r="AK73" s="1062"/>
      <c r="AL73" s="1062"/>
      <c r="AM73" s="1062"/>
      <c r="AN73" s="1062"/>
      <c r="AO73" s="1062"/>
      <c r="AP73" s="1062"/>
      <c r="AQ73" s="1062"/>
      <c r="AR73" s="1062"/>
      <c r="AS73" s="1062"/>
      <c r="AT73" s="1062"/>
      <c r="AU73" s="1062"/>
      <c r="AV73" s="1062"/>
      <c r="AW73" s="1062"/>
    </row>
    <row r="74" spans="2:49" x14ac:dyDescent="0.2">
      <c r="B74" s="1078"/>
      <c r="C74" s="1079"/>
      <c r="D74" s="1078"/>
      <c r="E74" s="1081"/>
      <c r="F74" s="1081"/>
      <c r="G74" s="1066"/>
      <c r="H74" s="1069"/>
      <c r="I74" s="1069"/>
      <c r="J74" s="1128" t="str">
        <f t="shared" si="0"/>
        <v/>
      </c>
      <c r="K74" s="1069"/>
      <c r="L74" s="1069"/>
      <c r="M74" s="1129" t="str">
        <f t="shared" si="1"/>
        <v/>
      </c>
      <c r="N74" s="1069"/>
      <c r="O74" s="1069"/>
      <c r="P74" s="1129" t="str">
        <f t="shared" si="2"/>
        <v/>
      </c>
      <c r="Q74" s="1069"/>
      <c r="R74" s="1069"/>
      <c r="S74" s="1129" t="str">
        <f t="shared" si="3"/>
        <v/>
      </c>
      <c r="T74" s="1068"/>
      <c r="U74" s="1069"/>
      <c r="V74" s="1267" t="str">
        <f t="shared" si="5"/>
        <v/>
      </c>
      <c r="W74" s="1062"/>
      <c r="X74" s="1062"/>
      <c r="Y74" s="1062"/>
      <c r="Z74" s="1062"/>
      <c r="AA74" s="1062"/>
      <c r="AB74" s="1062"/>
      <c r="AC74" s="1062"/>
      <c r="AD74" s="1062"/>
      <c r="AE74" s="1062"/>
      <c r="AF74" s="1062"/>
      <c r="AG74" s="1062"/>
      <c r="AH74" s="1062"/>
      <c r="AI74" s="1062"/>
      <c r="AJ74" s="1062"/>
      <c r="AK74" s="1062"/>
      <c r="AL74" s="1062"/>
      <c r="AM74" s="1062"/>
      <c r="AN74" s="1062"/>
      <c r="AO74" s="1062"/>
      <c r="AP74" s="1062"/>
      <c r="AQ74" s="1062"/>
      <c r="AR74" s="1062"/>
      <c r="AS74" s="1062"/>
      <c r="AT74" s="1062"/>
      <c r="AU74" s="1062"/>
      <c r="AV74" s="1062"/>
      <c r="AW74" s="1062"/>
    </row>
    <row r="75" spans="2:49" x14ac:dyDescent="0.2">
      <c r="B75" s="1078"/>
      <c r="C75" s="1079"/>
      <c r="D75" s="1078"/>
      <c r="E75" s="1081"/>
      <c r="F75" s="1081"/>
      <c r="G75" s="1066"/>
      <c r="H75" s="1069"/>
      <c r="I75" s="1069"/>
      <c r="J75" s="1128" t="str">
        <f t="shared" si="0"/>
        <v/>
      </c>
      <c r="K75" s="1069"/>
      <c r="L75" s="1069"/>
      <c r="M75" s="1129" t="str">
        <f t="shared" si="1"/>
        <v/>
      </c>
      <c r="N75" s="1069"/>
      <c r="O75" s="1069"/>
      <c r="P75" s="1129" t="str">
        <f t="shared" si="2"/>
        <v/>
      </c>
      <c r="Q75" s="1069"/>
      <c r="R75" s="1069"/>
      <c r="S75" s="1129" t="str">
        <f t="shared" si="3"/>
        <v/>
      </c>
      <c r="T75" s="1068"/>
      <c r="U75" s="1069"/>
      <c r="V75" s="1267" t="str">
        <f t="shared" si="5"/>
        <v/>
      </c>
      <c r="W75" s="1062"/>
      <c r="X75" s="1062"/>
      <c r="Y75" s="1062"/>
      <c r="Z75" s="1062"/>
      <c r="AA75" s="1062"/>
      <c r="AB75" s="1062"/>
      <c r="AC75" s="1062"/>
      <c r="AD75" s="1062"/>
      <c r="AE75" s="1062"/>
      <c r="AF75" s="1062"/>
      <c r="AG75" s="1062"/>
      <c r="AH75" s="1062"/>
      <c r="AI75" s="1062"/>
      <c r="AJ75" s="1062"/>
      <c r="AK75" s="1062"/>
      <c r="AL75" s="1062"/>
      <c r="AM75" s="1062"/>
      <c r="AN75" s="1062"/>
      <c r="AO75" s="1062"/>
      <c r="AP75" s="1062"/>
      <c r="AQ75" s="1062"/>
      <c r="AR75" s="1062"/>
      <c r="AS75" s="1062"/>
      <c r="AT75" s="1062"/>
      <c r="AU75" s="1062"/>
      <c r="AV75" s="1062"/>
      <c r="AW75" s="1062"/>
    </row>
    <row r="76" spans="2:49" x14ac:dyDescent="0.2">
      <c r="B76" s="1078"/>
      <c r="C76" s="1079"/>
      <c r="D76" s="1078"/>
      <c r="E76" s="1081"/>
      <c r="F76" s="1081"/>
      <c r="G76" s="1066"/>
      <c r="H76" s="1069"/>
      <c r="I76" s="1069"/>
      <c r="J76" s="1128" t="str">
        <f t="shared" si="0"/>
        <v/>
      </c>
      <c r="K76" s="1069"/>
      <c r="L76" s="1069"/>
      <c r="M76" s="1129" t="str">
        <f t="shared" si="1"/>
        <v/>
      </c>
      <c r="N76" s="1069"/>
      <c r="O76" s="1069"/>
      <c r="P76" s="1129" t="str">
        <f t="shared" si="2"/>
        <v/>
      </c>
      <c r="Q76" s="1069"/>
      <c r="R76" s="1069"/>
      <c r="S76" s="1129" t="str">
        <f t="shared" si="3"/>
        <v/>
      </c>
      <c r="T76" s="1068"/>
      <c r="U76" s="1069"/>
      <c r="V76" s="1267" t="str">
        <f t="shared" si="5"/>
        <v/>
      </c>
      <c r="W76" s="1062"/>
      <c r="X76" s="1062"/>
      <c r="Y76" s="1062"/>
      <c r="Z76" s="1062"/>
      <c r="AA76" s="1062"/>
      <c r="AB76" s="1062"/>
      <c r="AC76" s="1062"/>
      <c r="AD76" s="1062"/>
      <c r="AE76" s="1062"/>
      <c r="AF76" s="1062"/>
      <c r="AG76" s="1062"/>
      <c r="AH76" s="1062"/>
      <c r="AI76" s="1062"/>
      <c r="AJ76" s="1062"/>
      <c r="AK76" s="1062"/>
      <c r="AL76" s="1062"/>
      <c r="AM76" s="1062"/>
      <c r="AN76" s="1062"/>
      <c r="AO76" s="1062"/>
      <c r="AP76" s="1062"/>
      <c r="AQ76" s="1062"/>
      <c r="AR76" s="1062"/>
      <c r="AS76" s="1062"/>
      <c r="AT76" s="1062"/>
      <c r="AU76" s="1062"/>
      <c r="AV76" s="1062"/>
      <c r="AW76" s="1062"/>
    </row>
    <row r="77" spans="2:49" x14ac:dyDescent="0.2">
      <c r="B77" s="1078"/>
      <c r="C77" s="1079"/>
      <c r="D77" s="1078"/>
      <c r="E77" s="1081"/>
      <c r="F77" s="1081"/>
      <c r="G77" s="1066"/>
      <c r="H77" s="1069"/>
      <c r="I77" s="1069"/>
      <c r="J77" s="1128" t="str">
        <f t="shared" si="0"/>
        <v/>
      </c>
      <c r="K77" s="1069"/>
      <c r="L77" s="1069"/>
      <c r="M77" s="1129" t="str">
        <f t="shared" si="1"/>
        <v/>
      </c>
      <c r="N77" s="1069"/>
      <c r="O77" s="1069"/>
      <c r="P77" s="1129" t="str">
        <f t="shared" si="2"/>
        <v/>
      </c>
      <c r="Q77" s="1069"/>
      <c r="R77" s="1069"/>
      <c r="S77" s="1129" t="str">
        <f t="shared" si="3"/>
        <v/>
      </c>
      <c r="T77" s="1068"/>
      <c r="U77" s="1069"/>
      <c r="V77" s="1267" t="str">
        <f t="shared" si="5"/>
        <v/>
      </c>
      <c r="W77" s="1062"/>
      <c r="X77" s="1062"/>
      <c r="Y77" s="1062"/>
      <c r="Z77" s="1062"/>
      <c r="AA77" s="1062"/>
      <c r="AB77" s="1062"/>
      <c r="AC77" s="1062"/>
      <c r="AD77" s="1062"/>
      <c r="AE77" s="1062"/>
      <c r="AF77" s="1062"/>
      <c r="AG77" s="1062"/>
      <c r="AH77" s="1062"/>
      <c r="AI77" s="1062"/>
      <c r="AJ77" s="1062"/>
      <c r="AK77" s="1062"/>
      <c r="AL77" s="1062"/>
      <c r="AM77" s="1062"/>
      <c r="AN77" s="1062"/>
      <c r="AO77" s="1062"/>
      <c r="AP77" s="1062"/>
      <c r="AQ77" s="1062"/>
      <c r="AR77" s="1062"/>
      <c r="AS77" s="1062"/>
      <c r="AT77" s="1062"/>
      <c r="AU77" s="1062"/>
      <c r="AV77" s="1062"/>
      <c r="AW77" s="1062"/>
    </row>
    <row r="78" spans="2:49" x14ac:dyDescent="0.2">
      <c r="B78" s="1078"/>
      <c r="C78" s="1079"/>
      <c r="D78" s="1078"/>
      <c r="E78" s="1081"/>
      <c r="F78" s="1081"/>
      <c r="G78" s="1066"/>
      <c r="H78" s="1069"/>
      <c r="I78" s="1069"/>
      <c r="J78" s="1128" t="str">
        <f t="shared" si="0"/>
        <v/>
      </c>
      <c r="K78" s="1069"/>
      <c r="L78" s="1069"/>
      <c r="M78" s="1129" t="str">
        <f t="shared" si="1"/>
        <v/>
      </c>
      <c r="N78" s="1069"/>
      <c r="O78" s="1069"/>
      <c r="P78" s="1129" t="str">
        <f t="shared" si="2"/>
        <v/>
      </c>
      <c r="Q78" s="1069"/>
      <c r="R78" s="1069"/>
      <c r="S78" s="1129" t="str">
        <f t="shared" si="3"/>
        <v/>
      </c>
      <c r="T78" s="1068"/>
      <c r="U78" s="1069"/>
      <c r="V78" s="1267" t="str">
        <f t="shared" si="5"/>
        <v/>
      </c>
      <c r="W78" s="1062"/>
      <c r="X78" s="1062"/>
      <c r="Y78" s="1062"/>
      <c r="Z78" s="1062"/>
      <c r="AA78" s="1062"/>
      <c r="AB78" s="1062"/>
      <c r="AC78" s="1062"/>
      <c r="AD78" s="1062"/>
      <c r="AE78" s="1062"/>
      <c r="AF78" s="1062"/>
      <c r="AG78" s="1062"/>
      <c r="AH78" s="1062"/>
      <c r="AI78" s="1062"/>
      <c r="AJ78" s="1062"/>
      <c r="AK78" s="1062"/>
      <c r="AL78" s="1062"/>
      <c r="AM78" s="1062"/>
      <c r="AN78" s="1062"/>
      <c r="AO78" s="1062"/>
      <c r="AP78" s="1062"/>
      <c r="AQ78" s="1062"/>
      <c r="AR78" s="1062"/>
      <c r="AS78" s="1062"/>
      <c r="AT78" s="1062"/>
      <c r="AU78" s="1062"/>
      <c r="AV78" s="1062"/>
      <c r="AW78" s="1062"/>
    </row>
    <row r="79" spans="2:49" x14ac:dyDescent="0.2">
      <c r="B79" s="1078"/>
      <c r="C79" s="1079"/>
      <c r="D79" s="1078"/>
      <c r="E79" s="1081"/>
      <c r="F79" s="1081"/>
      <c r="G79" s="1066"/>
      <c r="H79" s="1069"/>
      <c r="I79" s="1069"/>
      <c r="J79" s="1128" t="str">
        <f t="shared" si="0"/>
        <v/>
      </c>
      <c r="K79" s="1069"/>
      <c r="L79" s="1069"/>
      <c r="M79" s="1129" t="str">
        <f t="shared" si="1"/>
        <v/>
      </c>
      <c r="N79" s="1069"/>
      <c r="O79" s="1069"/>
      <c r="P79" s="1129" t="str">
        <f t="shared" si="2"/>
        <v/>
      </c>
      <c r="Q79" s="1069"/>
      <c r="R79" s="1069"/>
      <c r="S79" s="1129" t="str">
        <f t="shared" si="3"/>
        <v/>
      </c>
      <c r="T79" s="1068"/>
      <c r="U79" s="1069"/>
      <c r="V79" s="1267" t="str">
        <f t="shared" si="5"/>
        <v/>
      </c>
      <c r="W79" s="1062"/>
      <c r="X79" s="1062"/>
      <c r="Y79" s="1062"/>
      <c r="Z79" s="1062"/>
      <c r="AA79" s="1062"/>
      <c r="AB79" s="1062"/>
      <c r="AC79" s="1062"/>
      <c r="AD79" s="1062"/>
      <c r="AE79" s="1062"/>
      <c r="AF79" s="1062"/>
      <c r="AG79" s="1062"/>
      <c r="AH79" s="1062"/>
      <c r="AI79" s="1062"/>
      <c r="AJ79" s="1062"/>
      <c r="AK79" s="1062"/>
      <c r="AL79" s="1062"/>
      <c r="AM79" s="1062"/>
      <c r="AN79" s="1062"/>
      <c r="AO79" s="1062"/>
      <c r="AP79" s="1062"/>
      <c r="AQ79" s="1062"/>
      <c r="AR79" s="1062"/>
      <c r="AS79" s="1062"/>
      <c r="AT79" s="1062"/>
      <c r="AU79" s="1062"/>
      <c r="AV79" s="1062"/>
      <c r="AW79" s="1062"/>
    </row>
    <row r="80" spans="2:49" x14ac:dyDescent="0.2">
      <c r="B80" s="1078"/>
      <c r="C80" s="1079"/>
      <c r="D80" s="1078"/>
      <c r="E80" s="1081"/>
      <c r="F80" s="1081"/>
      <c r="G80" s="1066"/>
      <c r="H80" s="1069"/>
      <c r="I80" s="1069"/>
      <c r="J80" s="1128" t="str">
        <f t="shared" si="0"/>
        <v/>
      </c>
      <c r="K80" s="1069"/>
      <c r="L80" s="1069"/>
      <c r="M80" s="1129" t="str">
        <f t="shared" si="1"/>
        <v/>
      </c>
      <c r="N80" s="1069"/>
      <c r="O80" s="1069"/>
      <c r="P80" s="1129" t="str">
        <f t="shared" si="2"/>
        <v/>
      </c>
      <c r="Q80" s="1069"/>
      <c r="R80" s="1069"/>
      <c r="S80" s="1129" t="str">
        <f t="shared" si="3"/>
        <v/>
      </c>
      <c r="T80" s="1068"/>
      <c r="U80" s="1069"/>
      <c r="V80" s="1267" t="str">
        <f t="shared" si="5"/>
        <v/>
      </c>
      <c r="W80" s="1062"/>
      <c r="X80" s="1062"/>
      <c r="Y80" s="1062"/>
      <c r="Z80" s="1062"/>
      <c r="AA80" s="1062"/>
      <c r="AB80" s="1062"/>
      <c r="AC80" s="1062"/>
      <c r="AD80" s="1062"/>
      <c r="AE80" s="1062"/>
      <c r="AF80" s="1062"/>
      <c r="AG80" s="1062"/>
      <c r="AH80" s="1062"/>
      <c r="AI80" s="1062"/>
      <c r="AJ80" s="1062"/>
      <c r="AK80" s="1062"/>
      <c r="AL80" s="1062"/>
      <c r="AM80" s="1062"/>
      <c r="AN80" s="1062"/>
      <c r="AO80" s="1062"/>
      <c r="AP80" s="1062"/>
      <c r="AQ80" s="1062"/>
      <c r="AR80" s="1062"/>
      <c r="AS80" s="1062"/>
      <c r="AT80" s="1062"/>
      <c r="AU80" s="1062"/>
      <c r="AV80" s="1062"/>
      <c r="AW80" s="1062"/>
    </row>
    <row r="81" spans="2:49" x14ac:dyDescent="0.2">
      <c r="B81" s="1078"/>
      <c r="C81" s="1079"/>
      <c r="D81" s="1078"/>
      <c r="E81" s="1081"/>
      <c r="F81" s="1081"/>
      <c r="G81" s="1066"/>
      <c r="H81" s="1069"/>
      <c r="I81" s="1069"/>
      <c r="J81" s="1128" t="str">
        <f t="shared" si="0"/>
        <v/>
      </c>
      <c r="K81" s="1069"/>
      <c r="L81" s="1069"/>
      <c r="M81" s="1129" t="str">
        <f t="shared" si="1"/>
        <v/>
      </c>
      <c r="N81" s="1069"/>
      <c r="O81" s="1069"/>
      <c r="P81" s="1129" t="str">
        <f t="shared" si="2"/>
        <v/>
      </c>
      <c r="Q81" s="1069"/>
      <c r="R81" s="1069"/>
      <c r="S81" s="1129" t="str">
        <f t="shared" si="3"/>
        <v/>
      </c>
      <c r="T81" s="1068"/>
      <c r="U81" s="1069"/>
      <c r="V81" s="1267" t="str">
        <f t="shared" si="5"/>
        <v/>
      </c>
      <c r="W81" s="1062"/>
      <c r="X81" s="1062"/>
      <c r="Y81" s="1062"/>
      <c r="Z81" s="1062"/>
      <c r="AA81" s="1062"/>
      <c r="AB81" s="1062"/>
      <c r="AC81" s="1062"/>
      <c r="AD81" s="1062"/>
      <c r="AE81" s="1062"/>
      <c r="AF81" s="1062"/>
      <c r="AG81" s="1062"/>
      <c r="AH81" s="1062"/>
      <c r="AI81" s="1062"/>
      <c r="AJ81" s="1062"/>
      <c r="AK81" s="1062"/>
      <c r="AL81" s="1062"/>
      <c r="AM81" s="1062"/>
      <c r="AN81" s="1062"/>
      <c r="AO81" s="1062"/>
      <c r="AP81" s="1062"/>
      <c r="AQ81" s="1062"/>
      <c r="AR81" s="1062"/>
      <c r="AS81" s="1062"/>
      <c r="AT81" s="1062"/>
      <c r="AU81" s="1062"/>
      <c r="AV81" s="1062"/>
      <c r="AW81" s="1062"/>
    </row>
    <row r="82" spans="2:49" x14ac:dyDescent="0.2">
      <c r="B82" s="1078"/>
      <c r="C82" s="1079"/>
      <c r="D82" s="1078"/>
      <c r="E82" s="1081"/>
      <c r="F82" s="1081"/>
      <c r="G82" s="1066"/>
      <c r="H82" s="1069"/>
      <c r="I82" s="1069"/>
      <c r="J82" s="1128" t="str">
        <f t="shared" si="0"/>
        <v/>
      </c>
      <c r="K82" s="1069"/>
      <c r="L82" s="1069"/>
      <c r="M82" s="1129" t="str">
        <f t="shared" si="1"/>
        <v/>
      </c>
      <c r="N82" s="1069"/>
      <c r="O82" s="1069"/>
      <c r="P82" s="1129" t="str">
        <f t="shared" si="2"/>
        <v/>
      </c>
      <c r="Q82" s="1069"/>
      <c r="R82" s="1069"/>
      <c r="S82" s="1129" t="str">
        <f t="shared" si="3"/>
        <v/>
      </c>
      <c r="T82" s="1068"/>
      <c r="U82" s="1069"/>
      <c r="V82" s="1267" t="str">
        <f t="shared" si="5"/>
        <v/>
      </c>
      <c r="W82" s="1062"/>
      <c r="X82" s="1062"/>
      <c r="Y82" s="1062"/>
      <c r="Z82" s="1062"/>
      <c r="AA82" s="1062"/>
      <c r="AB82" s="1062"/>
      <c r="AC82" s="1062"/>
      <c r="AD82" s="1062"/>
      <c r="AE82" s="1062"/>
      <c r="AF82" s="1062"/>
      <c r="AG82" s="1062"/>
      <c r="AH82" s="1062"/>
      <c r="AI82" s="1062"/>
      <c r="AJ82" s="1062"/>
      <c r="AK82" s="1062"/>
      <c r="AL82" s="1062"/>
      <c r="AM82" s="1062"/>
      <c r="AN82" s="1062"/>
      <c r="AO82" s="1062"/>
      <c r="AP82" s="1062"/>
      <c r="AQ82" s="1062"/>
      <c r="AR82" s="1062"/>
      <c r="AS82" s="1062"/>
      <c r="AT82" s="1062"/>
      <c r="AU82" s="1062"/>
      <c r="AV82" s="1062"/>
      <c r="AW82" s="1062"/>
    </row>
    <row r="83" spans="2:49" x14ac:dyDescent="0.2">
      <c r="B83" s="1078"/>
      <c r="C83" s="1079"/>
      <c r="D83" s="1078"/>
      <c r="E83" s="1081"/>
      <c r="F83" s="1081"/>
      <c r="G83" s="1066"/>
      <c r="H83" s="1069"/>
      <c r="I83" s="1069"/>
      <c r="J83" s="1128" t="str">
        <f t="shared" si="0"/>
        <v/>
      </c>
      <c r="K83" s="1069"/>
      <c r="L83" s="1069"/>
      <c r="M83" s="1129" t="str">
        <f t="shared" si="1"/>
        <v/>
      </c>
      <c r="N83" s="1069"/>
      <c r="O83" s="1069"/>
      <c r="P83" s="1129" t="str">
        <f t="shared" si="2"/>
        <v/>
      </c>
      <c r="Q83" s="1069"/>
      <c r="R83" s="1069"/>
      <c r="S83" s="1129" t="str">
        <f t="shared" si="3"/>
        <v/>
      </c>
      <c r="T83" s="1068"/>
      <c r="U83" s="1069"/>
      <c r="V83" s="1267" t="str">
        <f t="shared" si="5"/>
        <v/>
      </c>
      <c r="W83" s="1062"/>
      <c r="X83" s="1062"/>
      <c r="Y83" s="1062"/>
      <c r="Z83" s="1062"/>
      <c r="AA83" s="1062"/>
      <c r="AB83" s="1062"/>
      <c r="AC83" s="1062"/>
      <c r="AD83" s="1062"/>
      <c r="AE83" s="1062"/>
      <c r="AF83" s="1062"/>
      <c r="AG83" s="1062"/>
      <c r="AH83" s="1062"/>
      <c r="AI83" s="1062"/>
      <c r="AJ83" s="1062"/>
      <c r="AK83" s="1062"/>
      <c r="AL83" s="1062"/>
      <c r="AM83" s="1062"/>
      <c r="AN83" s="1062"/>
      <c r="AO83" s="1062"/>
      <c r="AP83" s="1062"/>
      <c r="AQ83" s="1062"/>
      <c r="AR83" s="1062"/>
      <c r="AS83" s="1062"/>
      <c r="AT83" s="1062"/>
      <c r="AU83" s="1062"/>
      <c r="AV83" s="1062"/>
      <c r="AW83" s="1062"/>
    </row>
    <row r="84" spans="2:49" x14ac:dyDescent="0.2">
      <c r="B84" s="1078"/>
      <c r="C84" s="1079"/>
      <c r="D84" s="1078"/>
      <c r="E84" s="1081"/>
      <c r="F84" s="1081"/>
      <c r="G84" s="1066"/>
      <c r="H84" s="1069"/>
      <c r="I84" s="1069"/>
      <c r="J84" s="1128" t="str">
        <f t="shared" si="0"/>
        <v/>
      </c>
      <c r="K84" s="1069"/>
      <c r="L84" s="1069"/>
      <c r="M84" s="1129" t="str">
        <f t="shared" si="1"/>
        <v/>
      </c>
      <c r="N84" s="1069"/>
      <c r="O84" s="1069"/>
      <c r="P84" s="1129" t="str">
        <f t="shared" si="2"/>
        <v/>
      </c>
      <c r="Q84" s="1069"/>
      <c r="R84" s="1069"/>
      <c r="S84" s="1129" t="str">
        <f t="shared" si="3"/>
        <v/>
      </c>
      <c r="T84" s="1068"/>
      <c r="U84" s="1069"/>
      <c r="V84" s="1267" t="str">
        <f t="shared" si="5"/>
        <v/>
      </c>
      <c r="W84" s="1062"/>
      <c r="X84" s="1062"/>
      <c r="Y84" s="1062"/>
      <c r="Z84" s="1062"/>
      <c r="AA84" s="1062"/>
      <c r="AB84" s="1062"/>
      <c r="AC84" s="1062"/>
      <c r="AD84" s="1062"/>
      <c r="AE84" s="1062"/>
      <c r="AF84" s="1062"/>
      <c r="AG84" s="1062"/>
      <c r="AH84" s="1062"/>
      <c r="AI84" s="1062"/>
      <c r="AJ84" s="1062"/>
      <c r="AK84" s="1062"/>
      <c r="AL84" s="1062"/>
      <c r="AM84" s="1062"/>
      <c r="AN84" s="1062"/>
      <c r="AO84" s="1062"/>
      <c r="AP84" s="1062"/>
      <c r="AQ84" s="1062"/>
      <c r="AR84" s="1062"/>
      <c r="AS84" s="1062"/>
      <c r="AT84" s="1062"/>
      <c r="AU84" s="1062"/>
      <c r="AV84" s="1062"/>
      <c r="AW84" s="1062"/>
    </row>
    <row r="85" spans="2:49" x14ac:dyDescent="0.2">
      <c r="B85" s="1078"/>
      <c r="C85" s="1079"/>
      <c r="D85" s="1078"/>
      <c r="E85" s="1081"/>
      <c r="F85" s="1081"/>
      <c r="G85" s="1066"/>
      <c r="H85" s="1069"/>
      <c r="I85" s="1069"/>
      <c r="J85" s="1128" t="str">
        <f t="shared" si="0"/>
        <v/>
      </c>
      <c r="K85" s="1069"/>
      <c r="L85" s="1069"/>
      <c r="M85" s="1129" t="str">
        <f t="shared" si="1"/>
        <v/>
      </c>
      <c r="N85" s="1069"/>
      <c r="O85" s="1069"/>
      <c r="P85" s="1129" t="str">
        <f t="shared" si="2"/>
        <v/>
      </c>
      <c r="Q85" s="1069"/>
      <c r="R85" s="1069"/>
      <c r="S85" s="1129" t="str">
        <f t="shared" si="3"/>
        <v/>
      </c>
      <c r="T85" s="1068"/>
      <c r="U85" s="1069"/>
      <c r="V85" s="1267" t="str">
        <f t="shared" si="5"/>
        <v/>
      </c>
      <c r="W85" s="1062"/>
      <c r="X85" s="1062"/>
      <c r="Y85" s="1062"/>
      <c r="Z85" s="1062"/>
      <c r="AA85" s="1062"/>
      <c r="AB85" s="1062"/>
      <c r="AC85" s="1062"/>
      <c r="AD85" s="1062"/>
      <c r="AE85" s="1062"/>
      <c r="AF85" s="1062"/>
      <c r="AG85" s="1062"/>
      <c r="AH85" s="1062"/>
      <c r="AI85" s="1062"/>
      <c r="AJ85" s="1062"/>
      <c r="AK85" s="1062"/>
      <c r="AL85" s="1062"/>
      <c r="AM85" s="1062"/>
      <c r="AN85" s="1062"/>
      <c r="AO85" s="1062"/>
      <c r="AP85" s="1062"/>
      <c r="AQ85" s="1062"/>
      <c r="AR85" s="1062"/>
      <c r="AS85" s="1062"/>
      <c r="AT85" s="1062"/>
      <c r="AU85" s="1062"/>
      <c r="AV85" s="1062"/>
      <c r="AW85" s="1062"/>
    </row>
    <row r="86" spans="2:49" x14ac:dyDescent="0.2">
      <c r="B86" s="1078"/>
      <c r="C86" s="1079"/>
      <c r="D86" s="1078"/>
      <c r="E86" s="1081"/>
      <c r="F86" s="1081"/>
      <c r="G86" s="1066"/>
      <c r="H86" s="1069"/>
      <c r="I86" s="1069"/>
      <c r="J86" s="1128" t="str">
        <f t="shared" si="0"/>
        <v/>
      </c>
      <c r="K86" s="1069"/>
      <c r="L86" s="1069"/>
      <c r="M86" s="1129" t="str">
        <f t="shared" si="1"/>
        <v/>
      </c>
      <c r="N86" s="1069"/>
      <c r="O86" s="1069"/>
      <c r="P86" s="1129" t="str">
        <f t="shared" si="2"/>
        <v/>
      </c>
      <c r="Q86" s="1069"/>
      <c r="R86" s="1069"/>
      <c r="S86" s="1129" t="str">
        <f t="shared" si="3"/>
        <v/>
      </c>
      <c r="T86" s="1068"/>
      <c r="U86" s="1069"/>
      <c r="V86" s="1267" t="str">
        <f t="shared" si="5"/>
        <v/>
      </c>
      <c r="W86" s="1062"/>
      <c r="X86" s="1062"/>
      <c r="Y86" s="1062"/>
      <c r="Z86" s="1062"/>
      <c r="AA86" s="1062"/>
      <c r="AB86" s="1062"/>
      <c r="AC86" s="1062"/>
      <c r="AD86" s="1062"/>
      <c r="AE86" s="1062"/>
      <c r="AF86" s="1062"/>
      <c r="AG86" s="1062"/>
      <c r="AH86" s="1062"/>
      <c r="AI86" s="1062"/>
      <c r="AJ86" s="1062"/>
      <c r="AK86" s="1062"/>
      <c r="AL86" s="1062"/>
      <c r="AM86" s="1062"/>
      <c r="AN86" s="1062"/>
      <c r="AO86" s="1062"/>
      <c r="AP86" s="1062"/>
      <c r="AQ86" s="1062"/>
      <c r="AR86" s="1062"/>
      <c r="AS86" s="1062"/>
      <c r="AT86" s="1062"/>
      <c r="AU86" s="1062"/>
      <c r="AV86" s="1062"/>
      <c r="AW86" s="1062"/>
    </row>
    <row r="87" spans="2:49" x14ac:dyDescent="0.2">
      <c r="B87" s="1078"/>
      <c r="C87" s="1079"/>
      <c r="D87" s="1078"/>
      <c r="E87" s="1081"/>
      <c r="F87" s="1081"/>
      <c r="G87" s="1066"/>
      <c r="H87" s="1069"/>
      <c r="I87" s="1069"/>
      <c r="J87" s="1128" t="str">
        <f t="shared" si="0"/>
        <v/>
      </c>
      <c r="K87" s="1069"/>
      <c r="L87" s="1069"/>
      <c r="M87" s="1129" t="str">
        <f t="shared" si="1"/>
        <v/>
      </c>
      <c r="N87" s="1069"/>
      <c r="O87" s="1069"/>
      <c r="P87" s="1129" t="str">
        <f t="shared" si="2"/>
        <v/>
      </c>
      <c r="Q87" s="1069"/>
      <c r="R87" s="1069"/>
      <c r="S87" s="1129" t="str">
        <f t="shared" si="3"/>
        <v/>
      </c>
      <c r="T87" s="1068"/>
      <c r="U87" s="1069"/>
      <c r="V87" s="1267" t="str">
        <f t="shared" si="5"/>
        <v/>
      </c>
      <c r="W87" s="1062"/>
      <c r="X87" s="1062"/>
      <c r="Y87" s="1062"/>
      <c r="Z87" s="1062"/>
      <c r="AA87" s="1062"/>
      <c r="AB87" s="1062"/>
      <c r="AC87" s="1062"/>
      <c r="AD87" s="1062"/>
      <c r="AE87" s="1062"/>
      <c r="AF87" s="1062"/>
      <c r="AG87" s="1062"/>
      <c r="AH87" s="1062"/>
      <c r="AI87" s="1062"/>
      <c r="AJ87" s="1062"/>
      <c r="AK87" s="1062"/>
      <c r="AL87" s="1062"/>
      <c r="AM87" s="1062"/>
      <c r="AN87" s="1062"/>
      <c r="AO87" s="1062"/>
      <c r="AP87" s="1062"/>
      <c r="AQ87" s="1062"/>
      <c r="AR87" s="1062"/>
      <c r="AS87" s="1062"/>
      <c r="AT87" s="1062"/>
      <c r="AU87" s="1062"/>
      <c r="AV87" s="1062"/>
      <c r="AW87" s="1062"/>
    </row>
    <row r="88" spans="2:49" x14ac:dyDescent="0.2">
      <c r="B88" s="1078"/>
      <c r="C88" s="1079"/>
      <c r="D88" s="1078"/>
      <c r="E88" s="1081"/>
      <c r="F88" s="1081"/>
      <c r="G88" s="1066"/>
      <c r="H88" s="1069"/>
      <c r="I88" s="1069"/>
      <c r="J88" s="1128" t="str">
        <f t="shared" si="0"/>
        <v/>
      </c>
      <c r="K88" s="1069"/>
      <c r="L88" s="1069"/>
      <c r="M88" s="1129" t="str">
        <f t="shared" si="1"/>
        <v/>
      </c>
      <c r="N88" s="1069"/>
      <c r="O88" s="1069"/>
      <c r="P88" s="1129" t="str">
        <f t="shared" si="2"/>
        <v/>
      </c>
      <c r="Q88" s="1069"/>
      <c r="R88" s="1069"/>
      <c r="S88" s="1129" t="str">
        <f t="shared" si="3"/>
        <v/>
      </c>
      <c r="T88" s="1068"/>
      <c r="U88" s="1069"/>
      <c r="V88" s="1267" t="str">
        <f t="shared" si="5"/>
        <v/>
      </c>
      <c r="W88" s="1062"/>
      <c r="X88" s="1062"/>
      <c r="Y88" s="1062"/>
      <c r="Z88" s="1062"/>
      <c r="AA88" s="1062"/>
      <c r="AB88" s="1062"/>
      <c r="AC88" s="1062"/>
      <c r="AD88" s="1062"/>
      <c r="AE88" s="1062"/>
      <c r="AF88" s="1062"/>
      <c r="AG88" s="1062"/>
      <c r="AH88" s="1062"/>
      <c r="AI88" s="1062"/>
      <c r="AJ88" s="1062"/>
      <c r="AK88" s="1062"/>
      <c r="AL88" s="1062"/>
      <c r="AM88" s="1062"/>
      <c r="AN88" s="1062"/>
      <c r="AO88" s="1062"/>
      <c r="AP88" s="1062"/>
      <c r="AQ88" s="1062"/>
      <c r="AR88" s="1062"/>
      <c r="AS88" s="1062"/>
      <c r="AT88" s="1062"/>
      <c r="AU88" s="1062"/>
      <c r="AV88" s="1062"/>
      <c r="AW88" s="1062"/>
    </row>
    <row r="89" spans="2:49" x14ac:dyDescent="0.2">
      <c r="B89" s="1078"/>
      <c r="C89" s="1079"/>
      <c r="D89" s="1078"/>
      <c r="E89" s="1081"/>
      <c r="F89" s="1081"/>
      <c r="G89" s="1066"/>
      <c r="H89" s="1069"/>
      <c r="I89" s="1069"/>
      <c r="J89" s="1128" t="str">
        <f t="shared" si="0"/>
        <v/>
      </c>
      <c r="K89" s="1069"/>
      <c r="L89" s="1069"/>
      <c r="M89" s="1129" t="str">
        <f t="shared" si="1"/>
        <v/>
      </c>
      <c r="N89" s="1069"/>
      <c r="O89" s="1069"/>
      <c r="P89" s="1129" t="str">
        <f t="shared" si="2"/>
        <v/>
      </c>
      <c r="Q89" s="1069"/>
      <c r="R89" s="1069"/>
      <c r="S89" s="1129" t="str">
        <f t="shared" si="3"/>
        <v/>
      </c>
      <c r="T89" s="1068"/>
      <c r="U89" s="1069"/>
      <c r="V89" s="1267" t="str">
        <f t="shared" si="5"/>
        <v/>
      </c>
      <c r="W89" s="1062"/>
      <c r="X89" s="1062"/>
      <c r="Y89" s="1062"/>
      <c r="Z89" s="1062"/>
      <c r="AA89" s="1062"/>
      <c r="AB89" s="1062"/>
      <c r="AC89" s="1062"/>
      <c r="AD89" s="1062"/>
      <c r="AE89" s="1062"/>
      <c r="AF89" s="1062"/>
      <c r="AG89" s="1062"/>
      <c r="AH89" s="1062"/>
      <c r="AI89" s="1062"/>
      <c r="AJ89" s="1062"/>
      <c r="AK89" s="1062"/>
      <c r="AL89" s="1062"/>
      <c r="AM89" s="1062"/>
      <c r="AN89" s="1062"/>
      <c r="AO89" s="1062"/>
      <c r="AP89" s="1062"/>
      <c r="AQ89" s="1062"/>
      <c r="AR89" s="1062"/>
      <c r="AS89" s="1062"/>
      <c r="AT89" s="1062"/>
      <c r="AU89" s="1062"/>
      <c r="AV89" s="1062"/>
      <c r="AW89" s="1062"/>
    </row>
    <row r="90" spans="2:49" x14ac:dyDescent="0.2">
      <c r="B90" s="1078"/>
      <c r="C90" s="1079"/>
      <c r="D90" s="1078"/>
      <c r="E90" s="1081"/>
      <c r="F90" s="1081"/>
      <c r="G90" s="1066"/>
      <c r="H90" s="1069"/>
      <c r="I90" s="1069"/>
      <c r="J90" s="1128" t="str">
        <f t="shared" ref="J90:J153" si="6">IF(AND(H90=0,I90=0),"",IF(I90&lt;&gt;0,IF(I90&gt;H90,"100",I90/H90*100),0))</f>
        <v/>
      </c>
      <c r="K90" s="1069"/>
      <c r="L90" s="1069"/>
      <c r="M90" s="1129" t="str">
        <f t="shared" ref="M90:M153" si="7">IF(AND(K90=0,L90=0),"",IF(L90&lt;&gt;0,IF(L90&gt;K90,"100",L90/K90*100),0))</f>
        <v/>
      </c>
      <c r="N90" s="1069"/>
      <c r="O90" s="1069"/>
      <c r="P90" s="1129" t="str">
        <f t="shared" ref="P90:P153" si="8">IF(AND(N90=0,O90=0),"",IF(O90&lt;&gt;0,IF(O90&gt;N90,"100",O90/N90*100),0))</f>
        <v/>
      </c>
      <c r="Q90" s="1069"/>
      <c r="R90" s="1069"/>
      <c r="S90" s="1129" t="str">
        <f t="shared" ref="S90:S153" si="9">IF(AND(Q90=0,R90=0),"",IF(R90&lt;&gt;0,IF(R90&gt;Q90,"100",R90/Q90*100),0))</f>
        <v/>
      </c>
      <c r="T90" s="1068"/>
      <c r="U90" s="1069"/>
      <c r="V90" s="1267" t="str">
        <f t="shared" ref="V90:V153" si="10">IF(AND(T90=0,U90=0),"",IF(U90&lt;&gt;0,IF(U90&gt;T90,"100",U90/T90*100),0))</f>
        <v/>
      </c>
      <c r="W90" s="1062"/>
      <c r="X90" s="1062"/>
      <c r="Y90" s="1062"/>
      <c r="Z90" s="1062"/>
      <c r="AA90" s="1062"/>
      <c r="AB90" s="1062"/>
      <c r="AC90" s="1062"/>
      <c r="AD90" s="1062"/>
      <c r="AE90" s="1062"/>
      <c r="AF90" s="1062"/>
      <c r="AG90" s="1062"/>
      <c r="AH90" s="1062"/>
      <c r="AI90" s="1062"/>
      <c r="AJ90" s="1062"/>
      <c r="AK90" s="1062"/>
      <c r="AL90" s="1062"/>
      <c r="AM90" s="1062"/>
      <c r="AN90" s="1062"/>
      <c r="AO90" s="1062"/>
      <c r="AP90" s="1062"/>
      <c r="AQ90" s="1062"/>
      <c r="AR90" s="1062"/>
      <c r="AS90" s="1062"/>
      <c r="AT90" s="1062"/>
      <c r="AU90" s="1062"/>
      <c r="AV90" s="1062"/>
      <c r="AW90" s="1062"/>
    </row>
    <row r="91" spans="2:49" x14ac:dyDescent="0.2">
      <c r="B91" s="1078"/>
      <c r="C91" s="1079"/>
      <c r="D91" s="1078"/>
      <c r="E91" s="1081"/>
      <c r="F91" s="1081"/>
      <c r="G91" s="1066"/>
      <c r="H91" s="1069"/>
      <c r="I91" s="1069"/>
      <c r="J91" s="1128" t="str">
        <f t="shared" si="6"/>
        <v/>
      </c>
      <c r="K91" s="1069"/>
      <c r="L91" s="1069"/>
      <c r="M91" s="1129" t="str">
        <f t="shared" si="7"/>
        <v/>
      </c>
      <c r="N91" s="1069"/>
      <c r="O91" s="1069"/>
      <c r="P91" s="1129" t="str">
        <f t="shared" si="8"/>
        <v/>
      </c>
      <c r="Q91" s="1069"/>
      <c r="R91" s="1069"/>
      <c r="S91" s="1129" t="str">
        <f t="shared" si="9"/>
        <v/>
      </c>
      <c r="T91" s="1068"/>
      <c r="U91" s="1069"/>
      <c r="V91" s="1267" t="str">
        <f t="shared" si="10"/>
        <v/>
      </c>
      <c r="W91" s="1062"/>
      <c r="X91" s="1062"/>
      <c r="Y91" s="1062"/>
      <c r="Z91" s="1062"/>
      <c r="AA91" s="1062"/>
      <c r="AB91" s="1062"/>
      <c r="AC91" s="1062"/>
      <c r="AD91" s="1062"/>
      <c r="AE91" s="1062"/>
      <c r="AF91" s="1062"/>
      <c r="AG91" s="1062"/>
      <c r="AH91" s="1062"/>
      <c r="AI91" s="1062"/>
      <c r="AJ91" s="1062"/>
      <c r="AK91" s="1062"/>
      <c r="AL91" s="1062"/>
      <c r="AM91" s="1062"/>
      <c r="AN91" s="1062"/>
      <c r="AO91" s="1062"/>
      <c r="AP91" s="1062"/>
      <c r="AQ91" s="1062"/>
      <c r="AR91" s="1062"/>
      <c r="AS91" s="1062"/>
      <c r="AT91" s="1062"/>
      <c r="AU91" s="1062"/>
      <c r="AV91" s="1062"/>
      <c r="AW91" s="1062"/>
    </row>
    <row r="92" spans="2:49" x14ac:dyDescent="0.2">
      <c r="B92" s="1078"/>
      <c r="C92" s="1079"/>
      <c r="D92" s="1078"/>
      <c r="E92" s="1081"/>
      <c r="F92" s="1081"/>
      <c r="G92" s="1066"/>
      <c r="H92" s="1069"/>
      <c r="I92" s="1069"/>
      <c r="J92" s="1128" t="str">
        <f t="shared" si="6"/>
        <v/>
      </c>
      <c r="K92" s="1069"/>
      <c r="L92" s="1069"/>
      <c r="M92" s="1129" t="str">
        <f t="shared" si="7"/>
        <v/>
      </c>
      <c r="N92" s="1069"/>
      <c r="O92" s="1069"/>
      <c r="P92" s="1129" t="str">
        <f t="shared" si="8"/>
        <v/>
      </c>
      <c r="Q92" s="1069"/>
      <c r="R92" s="1069"/>
      <c r="S92" s="1129" t="str">
        <f t="shared" si="9"/>
        <v/>
      </c>
      <c r="T92" s="1068"/>
      <c r="U92" s="1069"/>
      <c r="V92" s="1267" t="str">
        <f t="shared" si="10"/>
        <v/>
      </c>
      <c r="W92" s="1062"/>
      <c r="X92" s="1062"/>
      <c r="Y92" s="1062"/>
      <c r="Z92" s="1062"/>
      <c r="AA92" s="1062"/>
      <c r="AB92" s="1062"/>
      <c r="AC92" s="1062"/>
      <c r="AD92" s="1062"/>
      <c r="AE92" s="1062"/>
      <c r="AF92" s="1062"/>
      <c r="AG92" s="1062"/>
      <c r="AH92" s="1062"/>
      <c r="AI92" s="1062"/>
      <c r="AJ92" s="1062"/>
      <c r="AK92" s="1062"/>
      <c r="AL92" s="1062"/>
      <c r="AM92" s="1062"/>
      <c r="AN92" s="1062"/>
      <c r="AO92" s="1062"/>
      <c r="AP92" s="1062"/>
      <c r="AQ92" s="1062"/>
      <c r="AR92" s="1062"/>
      <c r="AS92" s="1062"/>
      <c r="AT92" s="1062"/>
      <c r="AU92" s="1062"/>
      <c r="AV92" s="1062"/>
      <c r="AW92" s="1062"/>
    </row>
    <row r="93" spans="2:49" x14ac:dyDescent="0.2">
      <c r="B93" s="1078"/>
      <c r="C93" s="1079"/>
      <c r="D93" s="1078"/>
      <c r="E93" s="1081"/>
      <c r="F93" s="1081"/>
      <c r="G93" s="1066"/>
      <c r="H93" s="1069"/>
      <c r="I93" s="1069"/>
      <c r="J93" s="1128" t="str">
        <f t="shared" si="6"/>
        <v/>
      </c>
      <c r="K93" s="1069"/>
      <c r="L93" s="1069"/>
      <c r="M93" s="1129" t="str">
        <f t="shared" si="7"/>
        <v/>
      </c>
      <c r="N93" s="1069"/>
      <c r="O93" s="1069"/>
      <c r="P93" s="1129" t="str">
        <f t="shared" si="8"/>
        <v/>
      </c>
      <c r="Q93" s="1069"/>
      <c r="R93" s="1069"/>
      <c r="S93" s="1129" t="str">
        <f t="shared" si="9"/>
        <v/>
      </c>
      <c r="T93" s="1068"/>
      <c r="U93" s="1069"/>
      <c r="V93" s="1267" t="str">
        <f t="shared" si="10"/>
        <v/>
      </c>
      <c r="W93" s="1062"/>
      <c r="X93" s="1062"/>
      <c r="Y93" s="1062"/>
      <c r="Z93" s="1062"/>
      <c r="AA93" s="1062"/>
      <c r="AB93" s="1062"/>
      <c r="AC93" s="1062"/>
      <c r="AD93" s="1062"/>
      <c r="AE93" s="1062"/>
      <c r="AF93" s="1062"/>
      <c r="AG93" s="1062"/>
      <c r="AH93" s="1062"/>
      <c r="AI93" s="1062"/>
      <c r="AJ93" s="1062"/>
      <c r="AK93" s="1062"/>
      <c r="AL93" s="1062"/>
      <c r="AM93" s="1062"/>
      <c r="AN93" s="1062"/>
      <c r="AO93" s="1062"/>
      <c r="AP93" s="1062"/>
      <c r="AQ93" s="1062"/>
      <c r="AR93" s="1062"/>
      <c r="AS93" s="1062"/>
      <c r="AT93" s="1062"/>
      <c r="AU93" s="1062"/>
      <c r="AV93" s="1062"/>
      <c r="AW93" s="1062"/>
    </row>
    <row r="94" spans="2:49" x14ac:dyDescent="0.2">
      <c r="B94" s="1078"/>
      <c r="C94" s="1079"/>
      <c r="D94" s="1078"/>
      <c r="E94" s="1081"/>
      <c r="F94" s="1081"/>
      <c r="G94" s="1066"/>
      <c r="H94" s="1069"/>
      <c r="I94" s="1069"/>
      <c r="J94" s="1128" t="str">
        <f t="shared" si="6"/>
        <v/>
      </c>
      <c r="K94" s="1069"/>
      <c r="L94" s="1069"/>
      <c r="M94" s="1129" t="str">
        <f t="shared" si="7"/>
        <v/>
      </c>
      <c r="N94" s="1069"/>
      <c r="O94" s="1069"/>
      <c r="P94" s="1129" t="str">
        <f t="shared" si="8"/>
        <v/>
      </c>
      <c r="Q94" s="1069"/>
      <c r="R94" s="1069"/>
      <c r="S94" s="1129" t="str">
        <f t="shared" si="9"/>
        <v/>
      </c>
      <c r="T94" s="1068"/>
      <c r="U94" s="1069"/>
      <c r="V94" s="1267" t="str">
        <f t="shared" si="10"/>
        <v/>
      </c>
      <c r="W94" s="1062"/>
      <c r="X94" s="1062"/>
      <c r="Y94" s="1062"/>
      <c r="Z94" s="1062"/>
      <c r="AA94" s="1062"/>
      <c r="AB94" s="1062"/>
      <c r="AC94" s="1062"/>
      <c r="AD94" s="1062"/>
      <c r="AE94" s="1062"/>
      <c r="AF94" s="1062"/>
      <c r="AG94" s="1062"/>
      <c r="AH94" s="1062"/>
      <c r="AI94" s="1062"/>
      <c r="AJ94" s="1062"/>
      <c r="AK94" s="1062"/>
      <c r="AL94" s="1062"/>
      <c r="AM94" s="1062"/>
      <c r="AN94" s="1062"/>
      <c r="AO94" s="1062"/>
      <c r="AP94" s="1062"/>
      <c r="AQ94" s="1062"/>
      <c r="AR94" s="1062"/>
      <c r="AS94" s="1062"/>
      <c r="AT94" s="1062"/>
      <c r="AU94" s="1062"/>
      <c r="AV94" s="1062"/>
      <c r="AW94" s="1062"/>
    </row>
    <row r="95" spans="2:49" x14ac:dyDescent="0.2">
      <c r="B95" s="1078"/>
      <c r="C95" s="1079"/>
      <c r="D95" s="1078"/>
      <c r="E95" s="1081"/>
      <c r="F95" s="1081"/>
      <c r="G95" s="1066"/>
      <c r="H95" s="1069"/>
      <c r="I95" s="1069"/>
      <c r="J95" s="1128" t="str">
        <f t="shared" si="6"/>
        <v/>
      </c>
      <c r="K95" s="1069"/>
      <c r="L95" s="1069"/>
      <c r="M95" s="1129" t="str">
        <f t="shared" si="7"/>
        <v/>
      </c>
      <c r="N95" s="1069"/>
      <c r="O95" s="1069"/>
      <c r="P95" s="1129" t="str">
        <f t="shared" si="8"/>
        <v/>
      </c>
      <c r="Q95" s="1069"/>
      <c r="R95" s="1069"/>
      <c r="S95" s="1129" t="str">
        <f t="shared" si="9"/>
        <v/>
      </c>
      <c r="T95" s="1068"/>
      <c r="U95" s="1069"/>
      <c r="V95" s="1267" t="str">
        <f t="shared" si="10"/>
        <v/>
      </c>
      <c r="W95" s="1062"/>
      <c r="X95" s="1062"/>
      <c r="Y95" s="1062"/>
      <c r="Z95" s="1062"/>
      <c r="AA95" s="1062"/>
      <c r="AB95" s="1062"/>
      <c r="AC95" s="1062"/>
      <c r="AD95" s="1062"/>
      <c r="AE95" s="1062"/>
      <c r="AF95" s="1062"/>
      <c r="AG95" s="1062"/>
      <c r="AH95" s="1062"/>
      <c r="AI95" s="1062"/>
      <c r="AJ95" s="1062"/>
      <c r="AK95" s="1062"/>
      <c r="AL95" s="1062"/>
      <c r="AM95" s="1062"/>
      <c r="AN95" s="1062"/>
      <c r="AO95" s="1062"/>
      <c r="AP95" s="1062"/>
      <c r="AQ95" s="1062"/>
      <c r="AR95" s="1062"/>
      <c r="AS95" s="1062"/>
      <c r="AT95" s="1062"/>
      <c r="AU95" s="1062"/>
      <c r="AV95" s="1062"/>
      <c r="AW95" s="1062"/>
    </row>
    <row r="96" spans="2:49" x14ac:dyDescent="0.2">
      <c r="B96" s="1078"/>
      <c r="C96" s="1079"/>
      <c r="D96" s="1078"/>
      <c r="E96" s="1081"/>
      <c r="F96" s="1081"/>
      <c r="G96" s="1066"/>
      <c r="H96" s="1069"/>
      <c r="I96" s="1069"/>
      <c r="J96" s="1128" t="str">
        <f t="shared" si="6"/>
        <v/>
      </c>
      <c r="K96" s="1069"/>
      <c r="L96" s="1069"/>
      <c r="M96" s="1129" t="str">
        <f t="shared" si="7"/>
        <v/>
      </c>
      <c r="N96" s="1069"/>
      <c r="O96" s="1069"/>
      <c r="P96" s="1129" t="str">
        <f t="shared" si="8"/>
        <v/>
      </c>
      <c r="Q96" s="1069"/>
      <c r="R96" s="1069"/>
      <c r="S96" s="1129" t="str">
        <f t="shared" si="9"/>
        <v/>
      </c>
      <c r="T96" s="1068"/>
      <c r="U96" s="1069"/>
      <c r="V96" s="1267" t="str">
        <f t="shared" si="10"/>
        <v/>
      </c>
      <c r="W96" s="1062"/>
      <c r="X96" s="1062"/>
      <c r="Y96" s="1062"/>
      <c r="Z96" s="1062"/>
      <c r="AA96" s="1062"/>
      <c r="AB96" s="1062"/>
      <c r="AC96" s="1062"/>
      <c r="AD96" s="1062"/>
      <c r="AE96" s="1062"/>
      <c r="AF96" s="1062"/>
      <c r="AG96" s="1062"/>
      <c r="AH96" s="1062"/>
      <c r="AI96" s="1062"/>
      <c r="AJ96" s="1062"/>
      <c r="AK96" s="1062"/>
      <c r="AL96" s="1062"/>
      <c r="AM96" s="1062"/>
      <c r="AN96" s="1062"/>
      <c r="AO96" s="1062"/>
      <c r="AP96" s="1062"/>
      <c r="AQ96" s="1062"/>
      <c r="AR96" s="1062"/>
      <c r="AS96" s="1062"/>
      <c r="AT96" s="1062"/>
      <c r="AU96" s="1062"/>
      <c r="AV96" s="1062"/>
      <c r="AW96" s="1062"/>
    </row>
    <row r="97" spans="2:49" x14ac:dyDescent="0.2">
      <c r="B97" s="1078"/>
      <c r="C97" s="1079"/>
      <c r="D97" s="1078"/>
      <c r="E97" s="1081"/>
      <c r="F97" s="1081"/>
      <c r="G97" s="1066"/>
      <c r="H97" s="1069"/>
      <c r="I97" s="1069"/>
      <c r="J97" s="1128" t="str">
        <f t="shared" si="6"/>
        <v/>
      </c>
      <c r="K97" s="1069"/>
      <c r="L97" s="1069"/>
      <c r="M97" s="1129" t="str">
        <f t="shared" si="7"/>
        <v/>
      </c>
      <c r="N97" s="1069"/>
      <c r="O97" s="1069"/>
      <c r="P97" s="1129" t="str">
        <f t="shared" si="8"/>
        <v/>
      </c>
      <c r="Q97" s="1069"/>
      <c r="R97" s="1069"/>
      <c r="S97" s="1129" t="str">
        <f t="shared" si="9"/>
        <v/>
      </c>
      <c r="T97" s="1068"/>
      <c r="U97" s="1069"/>
      <c r="V97" s="1267" t="str">
        <f t="shared" si="10"/>
        <v/>
      </c>
      <c r="W97" s="1062"/>
      <c r="X97" s="1062"/>
      <c r="Y97" s="1062"/>
      <c r="Z97" s="1062"/>
      <c r="AA97" s="1062"/>
      <c r="AB97" s="1062"/>
      <c r="AC97" s="1062"/>
      <c r="AD97" s="1062"/>
      <c r="AE97" s="1062"/>
      <c r="AF97" s="1062"/>
      <c r="AG97" s="1062"/>
      <c r="AH97" s="1062"/>
      <c r="AI97" s="1062"/>
      <c r="AJ97" s="1062"/>
      <c r="AK97" s="1062"/>
      <c r="AL97" s="1062"/>
      <c r="AM97" s="1062"/>
      <c r="AN97" s="1062"/>
      <c r="AO97" s="1062"/>
      <c r="AP97" s="1062"/>
      <c r="AQ97" s="1062"/>
      <c r="AR97" s="1062"/>
      <c r="AS97" s="1062"/>
      <c r="AT97" s="1062"/>
      <c r="AU97" s="1062"/>
      <c r="AV97" s="1062"/>
      <c r="AW97" s="1062"/>
    </row>
    <row r="98" spans="2:49" x14ac:dyDescent="0.2">
      <c r="B98" s="1078"/>
      <c r="C98" s="1079"/>
      <c r="D98" s="1078"/>
      <c r="E98" s="1081"/>
      <c r="F98" s="1081"/>
      <c r="G98" s="1066"/>
      <c r="H98" s="1069"/>
      <c r="I98" s="1069"/>
      <c r="J98" s="1128" t="str">
        <f t="shared" si="6"/>
        <v/>
      </c>
      <c r="K98" s="1069"/>
      <c r="L98" s="1069"/>
      <c r="M98" s="1129" t="str">
        <f t="shared" si="7"/>
        <v/>
      </c>
      <c r="N98" s="1069"/>
      <c r="O98" s="1069"/>
      <c r="P98" s="1129" t="str">
        <f t="shared" si="8"/>
        <v/>
      </c>
      <c r="Q98" s="1069"/>
      <c r="R98" s="1069"/>
      <c r="S98" s="1129" t="str">
        <f t="shared" si="9"/>
        <v/>
      </c>
      <c r="T98" s="1068"/>
      <c r="U98" s="1069"/>
      <c r="V98" s="1267" t="str">
        <f t="shared" si="10"/>
        <v/>
      </c>
      <c r="W98" s="1062"/>
      <c r="X98" s="1062"/>
      <c r="Y98" s="1062"/>
      <c r="Z98" s="1062"/>
      <c r="AA98" s="1062"/>
      <c r="AB98" s="1062"/>
      <c r="AC98" s="1062"/>
      <c r="AD98" s="1062"/>
      <c r="AE98" s="1062"/>
      <c r="AF98" s="1062"/>
      <c r="AG98" s="1062"/>
      <c r="AH98" s="1062"/>
      <c r="AI98" s="1062"/>
      <c r="AJ98" s="1062"/>
      <c r="AK98" s="1062"/>
      <c r="AL98" s="1062"/>
      <c r="AM98" s="1062"/>
      <c r="AN98" s="1062"/>
      <c r="AO98" s="1062"/>
      <c r="AP98" s="1062"/>
      <c r="AQ98" s="1062"/>
      <c r="AR98" s="1062"/>
      <c r="AS98" s="1062"/>
      <c r="AT98" s="1062"/>
      <c r="AU98" s="1062"/>
      <c r="AV98" s="1062"/>
      <c r="AW98" s="1062"/>
    </row>
    <row r="99" spans="2:49" x14ac:dyDescent="0.2">
      <c r="B99" s="1078"/>
      <c r="C99" s="1079"/>
      <c r="D99" s="1078"/>
      <c r="E99" s="1081"/>
      <c r="F99" s="1081"/>
      <c r="G99" s="1066"/>
      <c r="H99" s="1069"/>
      <c r="I99" s="1069"/>
      <c r="J99" s="1128" t="str">
        <f t="shared" si="6"/>
        <v/>
      </c>
      <c r="K99" s="1069"/>
      <c r="L99" s="1069"/>
      <c r="M99" s="1129" t="str">
        <f t="shared" si="7"/>
        <v/>
      </c>
      <c r="N99" s="1069"/>
      <c r="O99" s="1069"/>
      <c r="P99" s="1129" t="str">
        <f t="shared" si="8"/>
        <v/>
      </c>
      <c r="Q99" s="1069"/>
      <c r="R99" s="1069"/>
      <c r="S99" s="1129" t="str">
        <f t="shared" si="9"/>
        <v/>
      </c>
      <c r="T99" s="1068"/>
      <c r="U99" s="1069"/>
      <c r="V99" s="1267" t="str">
        <f t="shared" si="10"/>
        <v/>
      </c>
      <c r="W99" s="1062"/>
      <c r="X99" s="1062"/>
      <c r="Y99" s="1062"/>
      <c r="Z99" s="1062"/>
      <c r="AA99" s="1062"/>
      <c r="AB99" s="1062"/>
      <c r="AC99" s="1062"/>
      <c r="AD99" s="1062"/>
      <c r="AE99" s="1062"/>
      <c r="AF99" s="1062"/>
      <c r="AG99" s="1062"/>
      <c r="AH99" s="1062"/>
      <c r="AI99" s="1062"/>
      <c r="AJ99" s="1062"/>
      <c r="AK99" s="1062"/>
      <c r="AL99" s="1062"/>
      <c r="AM99" s="1062"/>
      <c r="AN99" s="1062"/>
      <c r="AO99" s="1062"/>
      <c r="AP99" s="1062"/>
      <c r="AQ99" s="1062"/>
      <c r="AR99" s="1062"/>
      <c r="AS99" s="1062"/>
      <c r="AT99" s="1062"/>
      <c r="AU99" s="1062"/>
      <c r="AV99" s="1062"/>
      <c r="AW99" s="1062"/>
    </row>
    <row r="100" spans="2:49" x14ac:dyDescent="0.2">
      <c r="B100" s="1078"/>
      <c r="C100" s="1079"/>
      <c r="D100" s="1078"/>
      <c r="E100" s="1081"/>
      <c r="F100" s="1081"/>
      <c r="G100" s="1066"/>
      <c r="H100" s="1069"/>
      <c r="I100" s="1069"/>
      <c r="J100" s="1128" t="str">
        <f t="shared" si="6"/>
        <v/>
      </c>
      <c r="K100" s="1069"/>
      <c r="L100" s="1069"/>
      <c r="M100" s="1129" t="str">
        <f t="shared" si="7"/>
        <v/>
      </c>
      <c r="N100" s="1069"/>
      <c r="O100" s="1069"/>
      <c r="P100" s="1129" t="str">
        <f t="shared" si="8"/>
        <v/>
      </c>
      <c r="Q100" s="1069"/>
      <c r="R100" s="1069"/>
      <c r="S100" s="1129" t="str">
        <f t="shared" si="9"/>
        <v/>
      </c>
      <c r="T100" s="1068"/>
      <c r="U100" s="1069"/>
      <c r="V100" s="1267" t="str">
        <f t="shared" si="10"/>
        <v/>
      </c>
      <c r="W100" s="1062"/>
      <c r="X100" s="1062"/>
      <c r="Y100" s="1062"/>
      <c r="Z100" s="1062"/>
      <c r="AA100" s="1062"/>
      <c r="AB100" s="1062"/>
      <c r="AC100" s="1062"/>
      <c r="AD100" s="1062"/>
      <c r="AE100" s="1062"/>
      <c r="AF100" s="1062"/>
      <c r="AG100" s="1062"/>
      <c r="AH100" s="1062"/>
      <c r="AI100" s="1062"/>
      <c r="AJ100" s="1062"/>
      <c r="AK100" s="1062"/>
      <c r="AL100" s="1062"/>
      <c r="AM100" s="1062"/>
      <c r="AN100" s="1062"/>
      <c r="AO100" s="1062"/>
      <c r="AP100" s="1062"/>
      <c r="AQ100" s="1062"/>
      <c r="AR100" s="1062"/>
      <c r="AS100" s="1062"/>
      <c r="AT100" s="1062"/>
      <c r="AU100" s="1062"/>
      <c r="AV100" s="1062"/>
      <c r="AW100" s="1062"/>
    </row>
    <row r="101" spans="2:49" x14ac:dyDescent="0.2">
      <c r="B101" s="1078"/>
      <c r="C101" s="1079"/>
      <c r="D101" s="1078"/>
      <c r="E101" s="1081"/>
      <c r="F101" s="1081"/>
      <c r="G101" s="1066"/>
      <c r="H101" s="1069"/>
      <c r="I101" s="1069"/>
      <c r="J101" s="1128" t="str">
        <f t="shared" si="6"/>
        <v/>
      </c>
      <c r="K101" s="1069"/>
      <c r="L101" s="1069"/>
      <c r="M101" s="1129" t="str">
        <f t="shared" si="7"/>
        <v/>
      </c>
      <c r="N101" s="1069"/>
      <c r="O101" s="1069"/>
      <c r="P101" s="1129" t="str">
        <f t="shared" si="8"/>
        <v/>
      </c>
      <c r="Q101" s="1069"/>
      <c r="R101" s="1069"/>
      <c r="S101" s="1129" t="str">
        <f t="shared" si="9"/>
        <v/>
      </c>
      <c r="T101" s="1068"/>
      <c r="U101" s="1069"/>
      <c r="V101" s="1267" t="str">
        <f t="shared" si="10"/>
        <v/>
      </c>
      <c r="W101" s="1062"/>
      <c r="X101" s="1062"/>
      <c r="Y101" s="1062"/>
      <c r="Z101" s="1062"/>
      <c r="AA101" s="1062"/>
      <c r="AB101" s="1062"/>
      <c r="AC101" s="1062"/>
      <c r="AD101" s="1062"/>
      <c r="AE101" s="1062"/>
      <c r="AF101" s="1062"/>
      <c r="AG101" s="1062"/>
      <c r="AH101" s="1062"/>
      <c r="AI101" s="1062"/>
      <c r="AJ101" s="1062"/>
      <c r="AK101" s="1062"/>
      <c r="AL101" s="1062"/>
      <c r="AM101" s="1062"/>
      <c r="AN101" s="1062"/>
      <c r="AO101" s="1062"/>
      <c r="AP101" s="1062"/>
      <c r="AQ101" s="1062"/>
      <c r="AR101" s="1062"/>
      <c r="AS101" s="1062"/>
      <c r="AT101" s="1062"/>
      <c r="AU101" s="1062"/>
      <c r="AV101" s="1062"/>
      <c r="AW101" s="1062"/>
    </row>
    <row r="102" spans="2:49" x14ac:dyDescent="0.2">
      <c r="B102" s="1078"/>
      <c r="C102" s="1079"/>
      <c r="D102" s="1078"/>
      <c r="E102" s="1081"/>
      <c r="F102" s="1081"/>
      <c r="G102" s="1066"/>
      <c r="H102" s="1069"/>
      <c r="I102" s="1069"/>
      <c r="J102" s="1128" t="str">
        <f t="shared" si="6"/>
        <v/>
      </c>
      <c r="K102" s="1069"/>
      <c r="L102" s="1069"/>
      <c r="M102" s="1129" t="str">
        <f t="shared" si="7"/>
        <v/>
      </c>
      <c r="N102" s="1069"/>
      <c r="O102" s="1069"/>
      <c r="P102" s="1129" t="str">
        <f t="shared" si="8"/>
        <v/>
      </c>
      <c r="Q102" s="1069"/>
      <c r="R102" s="1069"/>
      <c r="S102" s="1129" t="str">
        <f t="shared" si="9"/>
        <v/>
      </c>
      <c r="T102" s="1068"/>
      <c r="U102" s="1069"/>
      <c r="V102" s="1267" t="str">
        <f t="shared" si="10"/>
        <v/>
      </c>
      <c r="W102" s="1062"/>
      <c r="X102" s="1062"/>
      <c r="Y102" s="1062"/>
      <c r="Z102" s="1062"/>
      <c r="AA102" s="1062"/>
      <c r="AB102" s="1062"/>
      <c r="AC102" s="1062"/>
      <c r="AD102" s="1062"/>
      <c r="AE102" s="1062"/>
      <c r="AF102" s="1062"/>
      <c r="AG102" s="1062"/>
      <c r="AH102" s="1062"/>
      <c r="AI102" s="1062"/>
      <c r="AJ102" s="1062"/>
      <c r="AK102" s="1062"/>
      <c r="AL102" s="1062"/>
      <c r="AM102" s="1062"/>
      <c r="AN102" s="1062"/>
      <c r="AO102" s="1062"/>
      <c r="AP102" s="1062"/>
      <c r="AQ102" s="1062"/>
      <c r="AR102" s="1062"/>
      <c r="AS102" s="1062"/>
      <c r="AT102" s="1062"/>
      <c r="AU102" s="1062"/>
      <c r="AV102" s="1062"/>
      <c r="AW102" s="1062"/>
    </row>
    <row r="103" spans="2:49" x14ac:dyDescent="0.2">
      <c r="B103" s="1078"/>
      <c r="C103" s="1079"/>
      <c r="D103" s="1078"/>
      <c r="E103" s="1081"/>
      <c r="F103" s="1081"/>
      <c r="G103" s="1066"/>
      <c r="H103" s="1069"/>
      <c r="I103" s="1069"/>
      <c r="J103" s="1128" t="str">
        <f t="shared" si="6"/>
        <v/>
      </c>
      <c r="K103" s="1069"/>
      <c r="L103" s="1069"/>
      <c r="M103" s="1129" t="str">
        <f t="shared" si="7"/>
        <v/>
      </c>
      <c r="N103" s="1069"/>
      <c r="O103" s="1069"/>
      <c r="P103" s="1129" t="str">
        <f t="shared" si="8"/>
        <v/>
      </c>
      <c r="Q103" s="1069"/>
      <c r="R103" s="1069"/>
      <c r="S103" s="1129" t="str">
        <f t="shared" si="9"/>
        <v/>
      </c>
      <c r="T103" s="1068"/>
      <c r="U103" s="1069"/>
      <c r="V103" s="1267" t="str">
        <f t="shared" si="10"/>
        <v/>
      </c>
      <c r="W103" s="1062"/>
      <c r="X103" s="1062"/>
      <c r="Y103" s="1062"/>
      <c r="Z103" s="1062"/>
      <c r="AA103" s="1062"/>
      <c r="AB103" s="1062"/>
      <c r="AC103" s="1062"/>
      <c r="AD103" s="1062"/>
      <c r="AE103" s="1062"/>
      <c r="AF103" s="1062"/>
      <c r="AG103" s="1062"/>
      <c r="AH103" s="1062"/>
      <c r="AI103" s="1062"/>
      <c r="AJ103" s="1062"/>
      <c r="AK103" s="1062"/>
      <c r="AL103" s="1062"/>
      <c r="AM103" s="1062"/>
      <c r="AN103" s="1062"/>
      <c r="AO103" s="1062"/>
      <c r="AP103" s="1062"/>
      <c r="AQ103" s="1062"/>
      <c r="AR103" s="1062"/>
      <c r="AS103" s="1062"/>
      <c r="AT103" s="1062"/>
      <c r="AU103" s="1062"/>
      <c r="AV103" s="1062"/>
      <c r="AW103" s="1062"/>
    </row>
    <row r="104" spans="2:49" x14ac:dyDescent="0.2">
      <c r="B104" s="1078"/>
      <c r="C104" s="1079"/>
      <c r="D104" s="1078"/>
      <c r="E104" s="1081"/>
      <c r="F104" s="1081"/>
      <c r="G104" s="1066"/>
      <c r="H104" s="1069"/>
      <c r="I104" s="1069"/>
      <c r="J104" s="1128" t="str">
        <f t="shared" si="6"/>
        <v/>
      </c>
      <c r="K104" s="1069"/>
      <c r="L104" s="1069"/>
      <c r="M104" s="1129" t="str">
        <f t="shared" si="7"/>
        <v/>
      </c>
      <c r="N104" s="1069"/>
      <c r="O104" s="1069"/>
      <c r="P104" s="1129" t="str">
        <f t="shared" si="8"/>
        <v/>
      </c>
      <c r="Q104" s="1069"/>
      <c r="R104" s="1069"/>
      <c r="S104" s="1129" t="str">
        <f t="shared" si="9"/>
        <v/>
      </c>
      <c r="T104" s="1068"/>
      <c r="U104" s="1069"/>
      <c r="V104" s="1267" t="str">
        <f t="shared" si="10"/>
        <v/>
      </c>
      <c r="W104" s="1062"/>
      <c r="X104" s="1062"/>
      <c r="Y104" s="1062"/>
      <c r="Z104" s="1062"/>
      <c r="AA104" s="1062"/>
      <c r="AB104" s="1062"/>
      <c r="AC104" s="1062"/>
      <c r="AD104" s="1062"/>
      <c r="AE104" s="1062"/>
      <c r="AF104" s="1062"/>
      <c r="AG104" s="1062"/>
      <c r="AH104" s="1062"/>
      <c r="AI104" s="1062"/>
      <c r="AJ104" s="1062"/>
      <c r="AK104" s="1062"/>
      <c r="AL104" s="1062"/>
      <c r="AM104" s="1062"/>
      <c r="AN104" s="1062"/>
      <c r="AO104" s="1062"/>
      <c r="AP104" s="1062"/>
      <c r="AQ104" s="1062"/>
      <c r="AR104" s="1062"/>
      <c r="AS104" s="1062"/>
      <c r="AT104" s="1062"/>
      <c r="AU104" s="1062"/>
      <c r="AV104" s="1062"/>
      <c r="AW104" s="1062"/>
    </row>
    <row r="105" spans="2:49" x14ac:dyDescent="0.2">
      <c r="B105" s="1078"/>
      <c r="C105" s="1079"/>
      <c r="D105" s="1078"/>
      <c r="E105" s="1081"/>
      <c r="F105" s="1081"/>
      <c r="G105" s="1066"/>
      <c r="H105" s="1069"/>
      <c r="I105" s="1069"/>
      <c r="J105" s="1128" t="str">
        <f t="shared" si="6"/>
        <v/>
      </c>
      <c r="K105" s="1069"/>
      <c r="L105" s="1069"/>
      <c r="M105" s="1129" t="str">
        <f t="shared" si="7"/>
        <v/>
      </c>
      <c r="N105" s="1069"/>
      <c r="O105" s="1069"/>
      <c r="P105" s="1129" t="str">
        <f t="shared" si="8"/>
        <v/>
      </c>
      <c r="Q105" s="1069"/>
      <c r="R105" s="1069"/>
      <c r="S105" s="1129" t="str">
        <f t="shared" si="9"/>
        <v/>
      </c>
      <c r="T105" s="1068"/>
      <c r="U105" s="1069"/>
      <c r="V105" s="1267" t="str">
        <f t="shared" si="10"/>
        <v/>
      </c>
      <c r="W105" s="1062"/>
      <c r="X105" s="1062"/>
      <c r="Y105" s="1062"/>
      <c r="Z105" s="1062"/>
      <c r="AA105" s="1062"/>
      <c r="AB105" s="1062"/>
      <c r="AC105" s="1062"/>
      <c r="AD105" s="1062"/>
      <c r="AE105" s="1062"/>
      <c r="AF105" s="1062"/>
      <c r="AG105" s="1062"/>
      <c r="AH105" s="1062"/>
      <c r="AI105" s="1062"/>
      <c r="AJ105" s="1062"/>
      <c r="AK105" s="1062"/>
      <c r="AL105" s="1062"/>
      <c r="AM105" s="1062"/>
      <c r="AN105" s="1062"/>
      <c r="AO105" s="1062"/>
      <c r="AP105" s="1062"/>
      <c r="AQ105" s="1062"/>
      <c r="AR105" s="1062"/>
      <c r="AS105" s="1062"/>
      <c r="AT105" s="1062"/>
      <c r="AU105" s="1062"/>
      <c r="AV105" s="1062"/>
      <c r="AW105" s="1062"/>
    </row>
    <row r="106" spans="2:49" x14ac:dyDescent="0.2">
      <c r="B106" s="1078"/>
      <c r="C106" s="1079"/>
      <c r="D106" s="1078"/>
      <c r="E106" s="1081"/>
      <c r="F106" s="1081"/>
      <c r="G106" s="1066"/>
      <c r="H106" s="1069"/>
      <c r="I106" s="1069"/>
      <c r="J106" s="1128" t="str">
        <f t="shared" si="6"/>
        <v/>
      </c>
      <c r="K106" s="1069"/>
      <c r="L106" s="1069"/>
      <c r="M106" s="1129" t="str">
        <f t="shared" si="7"/>
        <v/>
      </c>
      <c r="N106" s="1069"/>
      <c r="O106" s="1069"/>
      <c r="P106" s="1129" t="str">
        <f t="shared" si="8"/>
        <v/>
      </c>
      <c r="Q106" s="1069"/>
      <c r="R106" s="1069"/>
      <c r="S106" s="1129" t="str">
        <f t="shared" si="9"/>
        <v/>
      </c>
      <c r="T106" s="1068"/>
      <c r="U106" s="1069"/>
      <c r="V106" s="1267" t="str">
        <f t="shared" si="10"/>
        <v/>
      </c>
      <c r="W106" s="1062"/>
      <c r="X106" s="1062"/>
      <c r="Y106" s="1062"/>
      <c r="Z106" s="1062"/>
      <c r="AA106" s="1062"/>
      <c r="AB106" s="1062"/>
      <c r="AC106" s="1062"/>
      <c r="AD106" s="1062"/>
      <c r="AE106" s="1062"/>
      <c r="AF106" s="1062"/>
      <c r="AG106" s="1062"/>
      <c r="AH106" s="1062"/>
      <c r="AI106" s="1062"/>
      <c r="AJ106" s="1062"/>
      <c r="AK106" s="1062"/>
      <c r="AL106" s="1062"/>
      <c r="AM106" s="1062"/>
      <c r="AN106" s="1062"/>
      <c r="AO106" s="1062"/>
      <c r="AP106" s="1062"/>
      <c r="AQ106" s="1062"/>
      <c r="AR106" s="1062"/>
      <c r="AS106" s="1062"/>
      <c r="AT106" s="1062"/>
      <c r="AU106" s="1062"/>
      <c r="AV106" s="1062"/>
      <c r="AW106" s="1062"/>
    </row>
    <row r="107" spans="2:49" x14ac:dyDescent="0.2">
      <c r="B107" s="1078"/>
      <c r="C107" s="1079"/>
      <c r="D107" s="1078"/>
      <c r="E107" s="1081"/>
      <c r="F107" s="1081"/>
      <c r="G107" s="1066"/>
      <c r="H107" s="1069"/>
      <c r="I107" s="1069"/>
      <c r="J107" s="1128" t="str">
        <f t="shared" si="6"/>
        <v/>
      </c>
      <c r="K107" s="1069"/>
      <c r="L107" s="1069"/>
      <c r="M107" s="1129" t="str">
        <f t="shared" si="7"/>
        <v/>
      </c>
      <c r="N107" s="1069"/>
      <c r="O107" s="1069"/>
      <c r="P107" s="1129" t="str">
        <f t="shared" si="8"/>
        <v/>
      </c>
      <c r="Q107" s="1069"/>
      <c r="R107" s="1069"/>
      <c r="S107" s="1129" t="str">
        <f t="shared" si="9"/>
        <v/>
      </c>
      <c r="T107" s="1068"/>
      <c r="U107" s="1069"/>
      <c r="V107" s="1267" t="str">
        <f t="shared" si="10"/>
        <v/>
      </c>
      <c r="W107" s="1062"/>
      <c r="X107" s="1062"/>
      <c r="Y107" s="1062"/>
      <c r="Z107" s="1062"/>
      <c r="AA107" s="1062"/>
      <c r="AB107" s="1062"/>
      <c r="AC107" s="1062"/>
      <c r="AD107" s="1062"/>
      <c r="AE107" s="1062"/>
      <c r="AF107" s="1062"/>
      <c r="AG107" s="1062"/>
      <c r="AH107" s="1062"/>
      <c r="AI107" s="1062"/>
      <c r="AJ107" s="1062"/>
      <c r="AK107" s="1062"/>
      <c r="AL107" s="1062"/>
      <c r="AM107" s="1062"/>
      <c r="AN107" s="1062"/>
      <c r="AO107" s="1062"/>
      <c r="AP107" s="1062"/>
      <c r="AQ107" s="1062"/>
      <c r="AR107" s="1062"/>
      <c r="AS107" s="1062"/>
      <c r="AT107" s="1062"/>
      <c r="AU107" s="1062"/>
      <c r="AV107" s="1062"/>
      <c r="AW107" s="1062"/>
    </row>
    <row r="108" spans="2:49" x14ac:dyDescent="0.2">
      <c r="B108" s="1078"/>
      <c r="C108" s="1079"/>
      <c r="D108" s="1078"/>
      <c r="E108" s="1081"/>
      <c r="F108" s="1081"/>
      <c r="G108" s="1066"/>
      <c r="H108" s="1069"/>
      <c r="I108" s="1069"/>
      <c r="J108" s="1128" t="str">
        <f t="shared" si="6"/>
        <v/>
      </c>
      <c r="K108" s="1069"/>
      <c r="L108" s="1069"/>
      <c r="M108" s="1129" t="str">
        <f t="shared" si="7"/>
        <v/>
      </c>
      <c r="N108" s="1069"/>
      <c r="O108" s="1069"/>
      <c r="P108" s="1129" t="str">
        <f t="shared" si="8"/>
        <v/>
      </c>
      <c r="Q108" s="1069"/>
      <c r="R108" s="1069"/>
      <c r="S108" s="1129" t="str">
        <f t="shared" si="9"/>
        <v/>
      </c>
      <c r="T108" s="1068"/>
      <c r="U108" s="1069"/>
      <c r="V108" s="1267" t="str">
        <f t="shared" si="10"/>
        <v/>
      </c>
      <c r="W108" s="1062"/>
      <c r="X108" s="1062"/>
      <c r="Y108" s="1062"/>
      <c r="Z108" s="1062"/>
      <c r="AA108" s="1062"/>
      <c r="AB108" s="1062"/>
      <c r="AC108" s="1062"/>
      <c r="AD108" s="1062"/>
      <c r="AE108" s="1062"/>
      <c r="AF108" s="1062"/>
      <c r="AG108" s="1062"/>
      <c r="AH108" s="1062"/>
      <c r="AI108" s="1062"/>
      <c r="AJ108" s="1062"/>
      <c r="AK108" s="1062"/>
      <c r="AL108" s="1062"/>
      <c r="AM108" s="1062"/>
      <c r="AN108" s="1062"/>
      <c r="AO108" s="1062"/>
      <c r="AP108" s="1062"/>
      <c r="AQ108" s="1062"/>
      <c r="AR108" s="1062"/>
      <c r="AS108" s="1062"/>
      <c r="AT108" s="1062"/>
      <c r="AU108" s="1062"/>
      <c r="AV108" s="1062"/>
      <c r="AW108" s="1062"/>
    </row>
    <row r="109" spans="2:49" x14ac:dyDescent="0.2">
      <c r="B109" s="1078"/>
      <c r="C109" s="1079"/>
      <c r="D109" s="1078"/>
      <c r="E109" s="1081"/>
      <c r="F109" s="1081"/>
      <c r="G109" s="1066"/>
      <c r="H109" s="1069"/>
      <c r="I109" s="1069"/>
      <c r="J109" s="1128" t="str">
        <f t="shared" si="6"/>
        <v/>
      </c>
      <c r="K109" s="1069"/>
      <c r="L109" s="1069"/>
      <c r="M109" s="1129" t="str">
        <f t="shared" si="7"/>
        <v/>
      </c>
      <c r="N109" s="1069"/>
      <c r="O109" s="1069"/>
      <c r="P109" s="1129" t="str">
        <f t="shared" si="8"/>
        <v/>
      </c>
      <c r="Q109" s="1069"/>
      <c r="R109" s="1069"/>
      <c r="S109" s="1129" t="str">
        <f t="shared" si="9"/>
        <v/>
      </c>
      <c r="T109" s="1068"/>
      <c r="U109" s="1069"/>
      <c r="V109" s="1267" t="str">
        <f t="shared" si="10"/>
        <v/>
      </c>
      <c r="W109" s="1062"/>
      <c r="X109" s="1062"/>
      <c r="Y109" s="1062"/>
      <c r="Z109" s="1062"/>
      <c r="AA109" s="1062"/>
      <c r="AB109" s="1062"/>
      <c r="AC109" s="1062"/>
      <c r="AD109" s="1062"/>
      <c r="AE109" s="1062"/>
      <c r="AF109" s="1062"/>
      <c r="AG109" s="1062"/>
      <c r="AH109" s="1062"/>
      <c r="AI109" s="1062"/>
      <c r="AJ109" s="1062"/>
      <c r="AK109" s="1062"/>
      <c r="AL109" s="1062"/>
      <c r="AM109" s="1062"/>
      <c r="AN109" s="1062"/>
      <c r="AO109" s="1062"/>
      <c r="AP109" s="1062"/>
      <c r="AQ109" s="1062"/>
      <c r="AR109" s="1062"/>
      <c r="AS109" s="1062"/>
      <c r="AT109" s="1062"/>
      <c r="AU109" s="1062"/>
      <c r="AV109" s="1062"/>
      <c r="AW109" s="1062"/>
    </row>
    <row r="110" spans="2:49" x14ac:dyDescent="0.2">
      <c r="B110" s="1078"/>
      <c r="C110" s="1079"/>
      <c r="D110" s="1078"/>
      <c r="E110" s="1081"/>
      <c r="F110" s="1081"/>
      <c r="G110" s="1066"/>
      <c r="H110" s="1069"/>
      <c r="I110" s="1069"/>
      <c r="J110" s="1128" t="str">
        <f t="shared" si="6"/>
        <v/>
      </c>
      <c r="K110" s="1069"/>
      <c r="L110" s="1069"/>
      <c r="M110" s="1129" t="str">
        <f t="shared" si="7"/>
        <v/>
      </c>
      <c r="N110" s="1069"/>
      <c r="O110" s="1069"/>
      <c r="P110" s="1129" t="str">
        <f t="shared" si="8"/>
        <v/>
      </c>
      <c r="Q110" s="1069"/>
      <c r="R110" s="1069"/>
      <c r="S110" s="1129" t="str">
        <f t="shared" si="9"/>
        <v/>
      </c>
      <c r="T110" s="1068"/>
      <c r="U110" s="1069"/>
      <c r="V110" s="1267" t="str">
        <f t="shared" si="10"/>
        <v/>
      </c>
      <c r="W110" s="1062"/>
      <c r="X110" s="1062"/>
      <c r="Y110" s="1062"/>
      <c r="Z110" s="1062"/>
      <c r="AA110" s="1062"/>
      <c r="AB110" s="1062"/>
      <c r="AC110" s="1062"/>
      <c r="AD110" s="1062"/>
      <c r="AE110" s="1062"/>
      <c r="AF110" s="1062"/>
      <c r="AG110" s="1062"/>
      <c r="AH110" s="1062"/>
      <c r="AI110" s="1062"/>
      <c r="AJ110" s="1062"/>
      <c r="AK110" s="1062"/>
      <c r="AL110" s="1062"/>
      <c r="AM110" s="1062"/>
      <c r="AN110" s="1062"/>
      <c r="AO110" s="1062"/>
      <c r="AP110" s="1062"/>
      <c r="AQ110" s="1062"/>
      <c r="AR110" s="1062"/>
      <c r="AS110" s="1062"/>
      <c r="AT110" s="1062"/>
      <c r="AU110" s="1062"/>
      <c r="AV110" s="1062"/>
      <c r="AW110" s="1062"/>
    </row>
    <row r="111" spans="2:49" x14ac:dyDescent="0.2">
      <c r="B111" s="1078"/>
      <c r="C111" s="1079"/>
      <c r="D111" s="1078"/>
      <c r="E111" s="1081"/>
      <c r="F111" s="1081"/>
      <c r="G111" s="1066"/>
      <c r="H111" s="1069"/>
      <c r="I111" s="1069"/>
      <c r="J111" s="1128" t="str">
        <f t="shared" si="6"/>
        <v/>
      </c>
      <c r="K111" s="1069"/>
      <c r="L111" s="1069"/>
      <c r="M111" s="1129" t="str">
        <f t="shared" si="7"/>
        <v/>
      </c>
      <c r="N111" s="1069"/>
      <c r="O111" s="1069"/>
      <c r="P111" s="1129" t="str">
        <f t="shared" si="8"/>
        <v/>
      </c>
      <c r="Q111" s="1069"/>
      <c r="R111" s="1069"/>
      <c r="S111" s="1129" t="str">
        <f t="shared" si="9"/>
        <v/>
      </c>
      <c r="T111" s="1068"/>
      <c r="U111" s="1069"/>
      <c r="V111" s="1267" t="str">
        <f t="shared" si="10"/>
        <v/>
      </c>
      <c r="W111" s="1062"/>
      <c r="X111" s="1062"/>
      <c r="Y111" s="1062"/>
      <c r="Z111" s="1062"/>
      <c r="AA111" s="1062"/>
      <c r="AB111" s="1062"/>
      <c r="AC111" s="1062"/>
      <c r="AD111" s="1062"/>
      <c r="AE111" s="1062"/>
      <c r="AF111" s="1062"/>
      <c r="AG111" s="1062"/>
      <c r="AH111" s="1062"/>
      <c r="AI111" s="1062"/>
      <c r="AJ111" s="1062"/>
      <c r="AK111" s="1062"/>
      <c r="AL111" s="1062"/>
      <c r="AM111" s="1062"/>
      <c r="AN111" s="1062"/>
      <c r="AO111" s="1062"/>
      <c r="AP111" s="1062"/>
      <c r="AQ111" s="1062"/>
      <c r="AR111" s="1062"/>
      <c r="AS111" s="1062"/>
      <c r="AT111" s="1062"/>
      <c r="AU111" s="1062"/>
      <c r="AV111" s="1062"/>
      <c r="AW111" s="1062"/>
    </row>
    <row r="112" spans="2:49" x14ac:dyDescent="0.2">
      <c r="B112" s="1078"/>
      <c r="C112" s="1079"/>
      <c r="D112" s="1078"/>
      <c r="E112" s="1081"/>
      <c r="F112" s="1081"/>
      <c r="G112" s="1066"/>
      <c r="H112" s="1069"/>
      <c r="I112" s="1069"/>
      <c r="J112" s="1128" t="str">
        <f t="shared" si="6"/>
        <v/>
      </c>
      <c r="K112" s="1069"/>
      <c r="L112" s="1069"/>
      <c r="M112" s="1129" t="str">
        <f t="shared" si="7"/>
        <v/>
      </c>
      <c r="N112" s="1069"/>
      <c r="O112" s="1069"/>
      <c r="P112" s="1129" t="str">
        <f t="shared" si="8"/>
        <v/>
      </c>
      <c r="Q112" s="1069"/>
      <c r="R112" s="1069"/>
      <c r="S112" s="1129" t="str">
        <f t="shared" si="9"/>
        <v/>
      </c>
      <c r="T112" s="1068"/>
      <c r="U112" s="1069"/>
      <c r="V112" s="1267" t="str">
        <f t="shared" si="10"/>
        <v/>
      </c>
      <c r="W112" s="1062"/>
      <c r="X112" s="1062"/>
      <c r="Y112" s="1062"/>
      <c r="Z112" s="1062"/>
      <c r="AA112" s="1062"/>
      <c r="AB112" s="1062"/>
      <c r="AC112" s="1062"/>
      <c r="AD112" s="1062"/>
      <c r="AE112" s="1062"/>
      <c r="AF112" s="1062"/>
      <c r="AG112" s="1062"/>
      <c r="AH112" s="1062"/>
      <c r="AI112" s="1062"/>
      <c r="AJ112" s="1062"/>
      <c r="AK112" s="1062"/>
      <c r="AL112" s="1062"/>
      <c r="AM112" s="1062"/>
      <c r="AN112" s="1062"/>
      <c r="AO112" s="1062"/>
      <c r="AP112" s="1062"/>
      <c r="AQ112" s="1062"/>
      <c r="AR112" s="1062"/>
      <c r="AS112" s="1062"/>
      <c r="AT112" s="1062"/>
      <c r="AU112" s="1062"/>
      <c r="AV112" s="1062"/>
      <c r="AW112" s="1062"/>
    </row>
    <row r="113" spans="2:49" x14ac:dyDescent="0.2">
      <c r="B113" s="1078"/>
      <c r="C113" s="1079"/>
      <c r="D113" s="1078"/>
      <c r="E113" s="1081"/>
      <c r="F113" s="1081"/>
      <c r="G113" s="1066"/>
      <c r="H113" s="1069"/>
      <c r="I113" s="1069"/>
      <c r="J113" s="1128" t="str">
        <f t="shared" si="6"/>
        <v/>
      </c>
      <c r="K113" s="1069"/>
      <c r="L113" s="1069"/>
      <c r="M113" s="1129" t="str">
        <f t="shared" si="7"/>
        <v/>
      </c>
      <c r="N113" s="1069"/>
      <c r="O113" s="1069"/>
      <c r="P113" s="1129" t="str">
        <f t="shared" si="8"/>
        <v/>
      </c>
      <c r="Q113" s="1069"/>
      <c r="R113" s="1069"/>
      <c r="S113" s="1129" t="str">
        <f t="shared" si="9"/>
        <v/>
      </c>
      <c r="T113" s="1068"/>
      <c r="U113" s="1069"/>
      <c r="V113" s="1267" t="str">
        <f t="shared" si="10"/>
        <v/>
      </c>
      <c r="W113" s="1062"/>
      <c r="X113" s="1062"/>
      <c r="Y113" s="1062"/>
      <c r="Z113" s="1062"/>
      <c r="AA113" s="1062"/>
      <c r="AB113" s="1062"/>
      <c r="AC113" s="1062"/>
      <c r="AD113" s="1062"/>
      <c r="AE113" s="1062"/>
      <c r="AF113" s="1062"/>
      <c r="AG113" s="1062"/>
      <c r="AH113" s="1062"/>
      <c r="AI113" s="1062"/>
      <c r="AJ113" s="1062"/>
      <c r="AK113" s="1062"/>
      <c r="AL113" s="1062"/>
      <c r="AM113" s="1062"/>
      <c r="AN113" s="1062"/>
      <c r="AO113" s="1062"/>
      <c r="AP113" s="1062"/>
      <c r="AQ113" s="1062"/>
      <c r="AR113" s="1062"/>
      <c r="AS113" s="1062"/>
      <c r="AT113" s="1062"/>
      <c r="AU113" s="1062"/>
      <c r="AV113" s="1062"/>
      <c r="AW113" s="1062"/>
    </row>
    <row r="114" spans="2:49" x14ac:dyDescent="0.2">
      <c r="B114" s="1078"/>
      <c r="C114" s="1079"/>
      <c r="D114" s="1078"/>
      <c r="E114" s="1081"/>
      <c r="F114" s="1081"/>
      <c r="G114" s="1066"/>
      <c r="H114" s="1069"/>
      <c r="I114" s="1069"/>
      <c r="J114" s="1128" t="str">
        <f t="shared" si="6"/>
        <v/>
      </c>
      <c r="K114" s="1069"/>
      <c r="L114" s="1069"/>
      <c r="M114" s="1129" t="str">
        <f t="shared" si="7"/>
        <v/>
      </c>
      <c r="N114" s="1069"/>
      <c r="O114" s="1069"/>
      <c r="P114" s="1129" t="str">
        <f t="shared" si="8"/>
        <v/>
      </c>
      <c r="Q114" s="1069"/>
      <c r="R114" s="1069"/>
      <c r="S114" s="1129" t="str">
        <f t="shared" si="9"/>
        <v/>
      </c>
      <c r="T114" s="1068"/>
      <c r="U114" s="1069"/>
      <c r="V114" s="1267" t="str">
        <f t="shared" si="10"/>
        <v/>
      </c>
      <c r="W114" s="1062"/>
      <c r="X114" s="1062"/>
      <c r="Y114" s="1062"/>
      <c r="Z114" s="1062"/>
      <c r="AA114" s="1062"/>
      <c r="AB114" s="1062"/>
      <c r="AC114" s="1062"/>
      <c r="AD114" s="1062"/>
      <c r="AE114" s="1062"/>
      <c r="AF114" s="1062"/>
      <c r="AG114" s="1062"/>
      <c r="AH114" s="1062"/>
      <c r="AI114" s="1062"/>
      <c r="AJ114" s="1062"/>
      <c r="AK114" s="1062"/>
      <c r="AL114" s="1062"/>
      <c r="AM114" s="1062"/>
      <c r="AN114" s="1062"/>
      <c r="AO114" s="1062"/>
      <c r="AP114" s="1062"/>
      <c r="AQ114" s="1062"/>
      <c r="AR114" s="1062"/>
      <c r="AS114" s="1062"/>
      <c r="AT114" s="1062"/>
      <c r="AU114" s="1062"/>
      <c r="AV114" s="1062"/>
      <c r="AW114" s="1062"/>
    </row>
    <row r="115" spans="2:49" x14ac:dyDescent="0.2">
      <c r="B115" s="1078"/>
      <c r="C115" s="1079"/>
      <c r="D115" s="1078"/>
      <c r="E115" s="1081"/>
      <c r="F115" s="1081"/>
      <c r="G115" s="1066"/>
      <c r="H115" s="1069"/>
      <c r="I115" s="1069"/>
      <c r="J115" s="1128" t="str">
        <f t="shared" si="6"/>
        <v/>
      </c>
      <c r="K115" s="1069"/>
      <c r="L115" s="1069"/>
      <c r="M115" s="1129" t="str">
        <f t="shared" si="7"/>
        <v/>
      </c>
      <c r="N115" s="1069"/>
      <c r="O115" s="1069"/>
      <c r="P115" s="1129" t="str">
        <f t="shared" si="8"/>
        <v/>
      </c>
      <c r="Q115" s="1069"/>
      <c r="R115" s="1069"/>
      <c r="S115" s="1129" t="str">
        <f t="shared" si="9"/>
        <v/>
      </c>
      <c r="T115" s="1068"/>
      <c r="U115" s="1069"/>
      <c r="V115" s="1267" t="str">
        <f t="shared" si="10"/>
        <v/>
      </c>
      <c r="W115" s="1062"/>
      <c r="X115" s="1062"/>
      <c r="Y115" s="1062"/>
      <c r="Z115" s="1062"/>
      <c r="AA115" s="1062"/>
      <c r="AB115" s="1062"/>
      <c r="AC115" s="1062"/>
      <c r="AD115" s="1062"/>
      <c r="AE115" s="1062"/>
      <c r="AF115" s="1062"/>
      <c r="AG115" s="1062"/>
      <c r="AH115" s="1062"/>
      <c r="AI115" s="1062"/>
      <c r="AJ115" s="1062"/>
      <c r="AK115" s="1062"/>
      <c r="AL115" s="1062"/>
      <c r="AM115" s="1062"/>
      <c r="AN115" s="1062"/>
      <c r="AO115" s="1062"/>
      <c r="AP115" s="1062"/>
      <c r="AQ115" s="1062"/>
      <c r="AR115" s="1062"/>
      <c r="AS115" s="1062"/>
      <c r="AT115" s="1062"/>
      <c r="AU115" s="1062"/>
      <c r="AV115" s="1062"/>
      <c r="AW115" s="1062"/>
    </row>
    <row r="116" spans="2:49" x14ac:dyDescent="0.2">
      <c r="B116" s="1078"/>
      <c r="C116" s="1079"/>
      <c r="D116" s="1078"/>
      <c r="E116" s="1081"/>
      <c r="F116" s="1081"/>
      <c r="G116" s="1066"/>
      <c r="H116" s="1069"/>
      <c r="I116" s="1069"/>
      <c r="J116" s="1128" t="str">
        <f t="shared" si="6"/>
        <v/>
      </c>
      <c r="K116" s="1069"/>
      <c r="L116" s="1069"/>
      <c r="M116" s="1129" t="str">
        <f t="shared" si="7"/>
        <v/>
      </c>
      <c r="N116" s="1069"/>
      <c r="O116" s="1069"/>
      <c r="P116" s="1129" t="str">
        <f t="shared" si="8"/>
        <v/>
      </c>
      <c r="Q116" s="1069"/>
      <c r="R116" s="1069"/>
      <c r="S116" s="1129" t="str">
        <f t="shared" si="9"/>
        <v/>
      </c>
      <c r="T116" s="1068"/>
      <c r="U116" s="1069"/>
      <c r="V116" s="1267" t="str">
        <f t="shared" si="10"/>
        <v/>
      </c>
      <c r="W116" s="1062"/>
      <c r="X116" s="1062"/>
      <c r="Y116" s="1062"/>
      <c r="Z116" s="1062"/>
      <c r="AA116" s="1062"/>
      <c r="AB116" s="1062"/>
      <c r="AC116" s="1062"/>
      <c r="AD116" s="1062"/>
      <c r="AE116" s="1062"/>
      <c r="AF116" s="1062"/>
      <c r="AG116" s="1062"/>
      <c r="AH116" s="1062"/>
      <c r="AI116" s="1062"/>
      <c r="AJ116" s="1062"/>
      <c r="AK116" s="1062"/>
      <c r="AL116" s="1062"/>
      <c r="AM116" s="1062"/>
      <c r="AN116" s="1062"/>
      <c r="AO116" s="1062"/>
      <c r="AP116" s="1062"/>
      <c r="AQ116" s="1062"/>
      <c r="AR116" s="1062"/>
      <c r="AS116" s="1062"/>
      <c r="AT116" s="1062"/>
      <c r="AU116" s="1062"/>
      <c r="AV116" s="1062"/>
      <c r="AW116" s="1062"/>
    </row>
    <row r="117" spans="2:49" x14ac:dyDescent="0.2">
      <c r="B117" s="1078"/>
      <c r="C117" s="1079"/>
      <c r="D117" s="1078"/>
      <c r="E117" s="1081"/>
      <c r="F117" s="1081"/>
      <c r="G117" s="1066"/>
      <c r="H117" s="1069"/>
      <c r="I117" s="1069"/>
      <c r="J117" s="1128" t="str">
        <f t="shared" si="6"/>
        <v/>
      </c>
      <c r="K117" s="1069"/>
      <c r="L117" s="1069"/>
      <c r="M117" s="1129" t="str">
        <f t="shared" si="7"/>
        <v/>
      </c>
      <c r="N117" s="1069"/>
      <c r="O117" s="1069"/>
      <c r="P117" s="1129" t="str">
        <f t="shared" si="8"/>
        <v/>
      </c>
      <c r="Q117" s="1069"/>
      <c r="R117" s="1069"/>
      <c r="S117" s="1129" t="str">
        <f t="shared" si="9"/>
        <v/>
      </c>
      <c r="T117" s="1068"/>
      <c r="U117" s="1069"/>
      <c r="V117" s="1267" t="str">
        <f t="shared" si="10"/>
        <v/>
      </c>
      <c r="W117" s="1062"/>
      <c r="X117" s="1062"/>
      <c r="Y117" s="1062"/>
      <c r="Z117" s="1062"/>
      <c r="AA117" s="1062"/>
      <c r="AB117" s="1062"/>
      <c r="AC117" s="1062"/>
      <c r="AD117" s="1062"/>
      <c r="AE117" s="1062"/>
      <c r="AF117" s="1062"/>
      <c r="AG117" s="1062"/>
      <c r="AH117" s="1062"/>
      <c r="AI117" s="1062"/>
      <c r="AJ117" s="1062"/>
      <c r="AK117" s="1062"/>
      <c r="AL117" s="1062"/>
      <c r="AM117" s="1062"/>
      <c r="AN117" s="1062"/>
      <c r="AO117" s="1062"/>
      <c r="AP117" s="1062"/>
      <c r="AQ117" s="1062"/>
      <c r="AR117" s="1062"/>
      <c r="AS117" s="1062"/>
      <c r="AT117" s="1062"/>
      <c r="AU117" s="1062"/>
      <c r="AV117" s="1062"/>
      <c r="AW117" s="1062"/>
    </row>
    <row r="118" spans="2:49" x14ac:dyDescent="0.2">
      <c r="B118" s="1078"/>
      <c r="C118" s="1079"/>
      <c r="D118" s="1078"/>
      <c r="E118" s="1081"/>
      <c r="F118" s="1081"/>
      <c r="G118" s="1066"/>
      <c r="H118" s="1069"/>
      <c r="I118" s="1069"/>
      <c r="J118" s="1128" t="str">
        <f t="shared" si="6"/>
        <v/>
      </c>
      <c r="K118" s="1069"/>
      <c r="L118" s="1069"/>
      <c r="M118" s="1129" t="str">
        <f t="shared" si="7"/>
        <v/>
      </c>
      <c r="N118" s="1069"/>
      <c r="O118" s="1069"/>
      <c r="P118" s="1129" t="str">
        <f t="shared" si="8"/>
        <v/>
      </c>
      <c r="Q118" s="1069"/>
      <c r="R118" s="1069"/>
      <c r="S118" s="1129" t="str">
        <f t="shared" si="9"/>
        <v/>
      </c>
      <c r="T118" s="1068"/>
      <c r="U118" s="1069"/>
      <c r="V118" s="1267" t="str">
        <f t="shared" si="10"/>
        <v/>
      </c>
      <c r="W118" s="1062"/>
      <c r="X118" s="1062"/>
      <c r="Y118" s="1062"/>
      <c r="Z118" s="1062"/>
      <c r="AA118" s="1062"/>
      <c r="AB118" s="1062"/>
      <c r="AC118" s="1062"/>
      <c r="AD118" s="1062"/>
      <c r="AE118" s="1062"/>
      <c r="AF118" s="1062"/>
      <c r="AG118" s="1062"/>
      <c r="AH118" s="1062"/>
      <c r="AI118" s="1062"/>
      <c r="AJ118" s="1062"/>
      <c r="AK118" s="1062"/>
      <c r="AL118" s="1062"/>
      <c r="AM118" s="1062"/>
      <c r="AN118" s="1062"/>
      <c r="AO118" s="1062"/>
      <c r="AP118" s="1062"/>
      <c r="AQ118" s="1062"/>
      <c r="AR118" s="1062"/>
      <c r="AS118" s="1062"/>
      <c r="AT118" s="1062"/>
      <c r="AU118" s="1062"/>
      <c r="AV118" s="1062"/>
      <c r="AW118" s="1062"/>
    </row>
    <row r="119" spans="2:49" x14ac:dyDescent="0.2">
      <c r="B119" s="1078"/>
      <c r="C119" s="1079"/>
      <c r="D119" s="1078"/>
      <c r="E119" s="1081"/>
      <c r="F119" s="1081"/>
      <c r="G119" s="1066"/>
      <c r="H119" s="1069"/>
      <c r="I119" s="1069"/>
      <c r="J119" s="1128" t="str">
        <f t="shared" si="6"/>
        <v/>
      </c>
      <c r="K119" s="1069"/>
      <c r="L119" s="1069"/>
      <c r="M119" s="1129" t="str">
        <f t="shared" si="7"/>
        <v/>
      </c>
      <c r="N119" s="1069"/>
      <c r="O119" s="1069"/>
      <c r="P119" s="1129" t="str">
        <f t="shared" si="8"/>
        <v/>
      </c>
      <c r="Q119" s="1069"/>
      <c r="R119" s="1069"/>
      <c r="S119" s="1129" t="str">
        <f t="shared" si="9"/>
        <v/>
      </c>
      <c r="T119" s="1068"/>
      <c r="U119" s="1069"/>
      <c r="V119" s="1267" t="str">
        <f t="shared" si="10"/>
        <v/>
      </c>
      <c r="W119" s="1062"/>
      <c r="X119" s="1062"/>
      <c r="Y119" s="1062"/>
      <c r="Z119" s="1062"/>
      <c r="AA119" s="1062"/>
      <c r="AB119" s="1062"/>
      <c r="AC119" s="1062"/>
      <c r="AD119" s="1062"/>
      <c r="AE119" s="1062"/>
      <c r="AF119" s="1062"/>
      <c r="AG119" s="1062"/>
      <c r="AH119" s="1062"/>
      <c r="AI119" s="1062"/>
      <c r="AJ119" s="1062"/>
      <c r="AK119" s="1062"/>
      <c r="AL119" s="1062"/>
      <c r="AM119" s="1062"/>
      <c r="AN119" s="1062"/>
      <c r="AO119" s="1062"/>
      <c r="AP119" s="1062"/>
      <c r="AQ119" s="1062"/>
      <c r="AR119" s="1062"/>
      <c r="AS119" s="1062"/>
      <c r="AT119" s="1062"/>
      <c r="AU119" s="1062"/>
      <c r="AV119" s="1062"/>
      <c r="AW119" s="1062"/>
    </row>
    <row r="120" spans="2:49" x14ac:dyDescent="0.2">
      <c r="B120" s="1078"/>
      <c r="C120" s="1079"/>
      <c r="D120" s="1078"/>
      <c r="E120" s="1081"/>
      <c r="F120" s="1081"/>
      <c r="G120" s="1066"/>
      <c r="H120" s="1069"/>
      <c r="I120" s="1069"/>
      <c r="J120" s="1128" t="str">
        <f t="shared" si="6"/>
        <v/>
      </c>
      <c r="K120" s="1069"/>
      <c r="L120" s="1069"/>
      <c r="M120" s="1129" t="str">
        <f t="shared" si="7"/>
        <v/>
      </c>
      <c r="N120" s="1069"/>
      <c r="O120" s="1069"/>
      <c r="P120" s="1129" t="str">
        <f t="shared" si="8"/>
        <v/>
      </c>
      <c r="Q120" s="1069"/>
      <c r="R120" s="1069"/>
      <c r="S120" s="1129" t="str">
        <f t="shared" si="9"/>
        <v/>
      </c>
      <c r="T120" s="1068"/>
      <c r="U120" s="1069"/>
      <c r="V120" s="1267" t="str">
        <f t="shared" si="10"/>
        <v/>
      </c>
      <c r="W120" s="1062"/>
      <c r="X120" s="1062"/>
      <c r="Y120" s="1062"/>
      <c r="Z120" s="1062"/>
      <c r="AA120" s="1062"/>
      <c r="AB120" s="1062"/>
      <c r="AC120" s="1062"/>
      <c r="AD120" s="1062"/>
      <c r="AE120" s="1062"/>
      <c r="AF120" s="1062"/>
      <c r="AG120" s="1062"/>
      <c r="AH120" s="1062"/>
      <c r="AI120" s="1062"/>
      <c r="AJ120" s="1062"/>
      <c r="AK120" s="1062"/>
      <c r="AL120" s="1062"/>
      <c r="AM120" s="1062"/>
      <c r="AN120" s="1062"/>
      <c r="AO120" s="1062"/>
      <c r="AP120" s="1062"/>
      <c r="AQ120" s="1062"/>
      <c r="AR120" s="1062"/>
      <c r="AS120" s="1062"/>
      <c r="AT120" s="1062"/>
      <c r="AU120" s="1062"/>
      <c r="AV120" s="1062"/>
      <c r="AW120" s="1062"/>
    </row>
    <row r="121" spans="2:49" x14ac:dyDescent="0.2">
      <c r="B121" s="1078"/>
      <c r="C121" s="1079"/>
      <c r="D121" s="1078"/>
      <c r="E121" s="1081"/>
      <c r="F121" s="1081"/>
      <c r="G121" s="1066"/>
      <c r="H121" s="1069"/>
      <c r="I121" s="1069"/>
      <c r="J121" s="1128" t="str">
        <f t="shared" si="6"/>
        <v/>
      </c>
      <c r="K121" s="1069"/>
      <c r="L121" s="1069"/>
      <c r="M121" s="1129" t="str">
        <f t="shared" si="7"/>
        <v/>
      </c>
      <c r="N121" s="1069"/>
      <c r="O121" s="1069"/>
      <c r="P121" s="1129" t="str">
        <f t="shared" si="8"/>
        <v/>
      </c>
      <c r="Q121" s="1069"/>
      <c r="R121" s="1069"/>
      <c r="S121" s="1129" t="str">
        <f t="shared" si="9"/>
        <v/>
      </c>
      <c r="T121" s="1068"/>
      <c r="U121" s="1069"/>
      <c r="V121" s="1267" t="str">
        <f t="shared" si="10"/>
        <v/>
      </c>
      <c r="W121" s="1062"/>
      <c r="X121" s="1062"/>
      <c r="Y121" s="1062"/>
      <c r="Z121" s="1062"/>
      <c r="AA121" s="1062"/>
      <c r="AB121" s="1062"/>
      <c r="AC121" s="1062"/>
      <c r="AD121" s="1062"/>
      <c r="AE121" s="1062"/>
      <c r="AF121" s="1062"/>
      <c r="AG121" s="1062"/>
      <c r="AH121" s="1062"/>
      <c r="AI121" s="1062"/>
      <c r="AJ121" s="1062"/>
      <c r="AK121" s="1062"/>
      <c r="AL121" s="1062"/>
      <c r="AM121" s="1062"/>
      <c r="AN121" s="1062"/>
      <c r="AO121" s="1062"/>
      <c r="AP121" s="1062"/>
      <c r="AQ121" s="1062"/>
      <c r="AR121" s="1062"/>
      <c r="AS121" s="1062"/>
      <c r="AT121" s="1062"/>
      <c r="AU121" s="1062"/>
      <c r="AV121" s="1062"/>
      <c r="AW121" s="1062"/>
    </row>
    <row r="122" spans="2:49" x14ac:dyDescent="0.2">
      <c r="B122" s="1078"/>
      <c r="C122" s="1079"/>
      <c r="D122" s="1078"/>
      <c r="E122" s="1081"/>
      <c r="F122" s="1081"/>
      <c r="G122" s="1066"/>
      <c r="H122" s="1069"/>
      <c r="I122" s="1069"/>
      <c r="J122" s="1128" t="str">
        <f t="shared" si="6"/>
        <v/>
      </c>
      <c r="K122" s="1069"/>
      <c r="L122" s="1069"/>
      <c r="M122" s="1129" t="str">
        <f t="shared" si="7"/>
        <v/>
      </c>
      <c r="N122" s="1069"/>
      <c r="O122" s="1069"/>
      <c r="P122" s="1129" t="str">
        <f t="shared" si="8"/>
        <v/>
      </c>
      <c r="Q122" s="1069"/>
      <c r="R122" s="1069"/>
      <c r="S122" s="1129" t="str">
        <f t="shared" si="9"/>
        <v/>
      </c>
      <c r="T122" s="1068"/>
      <c r="U122" s="1069"/>
      <c r="V122" s="1267" t="str">
        <f t="shared" si="10"/>
        <v/>
      </c>
      <c r="W122" s="1062"/>
      <c r="X122" s="1062"/>
      <c r="Y122" s="1062"/>
      <c r="Z122" s="1062"/>
      <c r="AA122" s="1062"/>
      <c r="AB122" s="1062"/>
      <c r="AC122" s="1062"/>
      <c r="AD122" s="1062"/>
      <c r="AE122" s="1062"/>
      <c r="AF122" s="1062"/>
      <c r="AG122" s="1062"/>
      <c r="AH122" s="1062"/>
      <c r="AI122" s="1062"/>
      <c r="AJ122" s="1062"/>
      <c r="AK122" s="1062"/>
      <c r="AL122" s="1062"/>
      <c r="AM122" s="1062"/>
      <c r="AN122" s="1062"/>
      <c r="AO122" s="1062"/>
      <c r="AP122" s="1062"/>
      <c r="AQ122" s="1062"/>
      <c r="AR122" s="1062"/>
      <c r="AS122" s="1062"/>
      <c r="AT122" s="1062"/>
      <c r="AU122" s="1062"/>
      <c r="AV122" s="1062"/>
      <c r="AW122" s="1062"/>
    </row>
    <row r="123" spans="2:49" x14ac:dyDescent="0.2">
      <c r="B123" s="1078"/>
      <c r="C123" s="1079"/>
      <c r="D123" s="1078"/>
      <c r="E123" s="1081"/>
      <c r="F123" s="1081"/>
      <c r="G123" s="1066"/>
      <c r="H123" s="1069"/>
      <c r="I123" s="1069"/>
      <c r="J123" s="1128" t="str">
        <f t="shared" si="6"/>
        <v/>
      </c>
      <c r="K123" s="1069"/>
      <c r="L123" s="1069"/>
      <c r="M123" s="1129" t="str">
        <f t="shared" si="7"/>
        <v/>
      </c>
      <c r="N123" s="1069"/>
      <c r="O123" s="1069"/>
      <c r="P123" s="1129" t="str">
        <f t="shared" si="8"/>
        <v/>
      </c>
      <c r="Q123" s="1069"/>
      <c r="R123" s="1069"/>
      <c r="S123" s="1129" t="str">
        <f t="shared" si="9"/>
        <v/>
      </c>
      <c r="T123" s="1068"/>
      <c r="U123" s="1069"/>
      <c r="V123" s="1267" t="str">
        <f t="shared" si="10"/>
        <v/>
      </c>
      <c r="W123" s="1062"/>
      <c r="X123" s="1062"/>
      <c r="Y123" s="1062"/>
      <c r="Z123" s="1062"/>
      <c r="AA123" s="1062"/>
      <c r="AB123" s="1062"/>
      <c r="AC123" s="1062"/>
      <c r="AD123" s="1062"/>
      <c r="AE123" s="1062"/>
      <c r="AF123" s="1062"/>
      <c r="AG123" s="1062"/>
      <c r="AH123" s="1062"/>
      <c r="AI123" s="1062"/>
      <c r="AJ123" s="1062"/>
      <c r="AK123" s="1062"/>
      <c r="AL123" s="1062"/>
      <c r="AM123" s="1062"/>
      <c r="AN123" s="1062"/>
      <c r="AO123" s="1062"/>
      <c r="AP123" s="1062"/>
      <c r="AQ123" s="1062"/>
      <c r="AR123" s="1062"/>
      <c r="AS123" s="1062"/>
      <c r="AT123" s="1062"/>
      <c r="AU123" s="1062"/>
      <c r="AV123" s="1062"/>
      <c r="AW123" s="1062"/>
    </row>
    <row r="124" spans="2:49" x14ac:dyDescent="0.2">
      <c r="B124" s="1078"/>
      <c r="C124" s="1079"/>
      <c r="D124" s="1078"/>
      <c r="E124" s="1081"/>
      <c r="F124" s="1081"/>
      <c r="G124" s="1066"/>
      <c r="H124" s="1069"/>
      <c r="I124" s="1069"/>
      <c r="J124" s="1128" t="str">
        <f t="shared" si="6"/>
        <v/>
      </c>
      <c r="K124" s="1069"/>
      <c r="L124" s="1069"/>
      <c r="M124" s="1129" t="str">
        <f t="shared" si="7"/>
        <v/>
      </c>
      <c r="N124" s="1069"/>
      <c r="O124" s="1069"/>
      <c r="P124" s="1129" t="str">
        <f t="shared" si="8"/>
        <v/>
      </c>
      <c r="Q124" s="1069"/>
      <c r="R124" s="1069"/>
      <c r="S124" s="1129" t="str">
        <f t="shared" si="9"/>
        <v/>
      </c>
      <c r="T124" s="1068"/>
      <c r="U124" s="1069"/>
      <c r="V124" s="1267" t="str">
        <f t="shared" si="10"/>
        <v/>
      </c>
      <c r="W124" s="1062"/>
      <c r="X124" s="1062"/>
      <c r="Y124" s="1062"/>
      <c r="Z124" s="1062"/>
      <c r="AA124" s="1062"/>
      <c r="AB124" s="1062"/>
      <c r="AC124" s="1062"/>
      <c r="AD124" s="1062"/>
      <c r="AE124" s="1062"/>
      <c r="AF124" s="1062"/>
      <c r="AG124" s="1062"/>
      <c r="AH124" s="1062"/>
      <c r="AI124" s="1062"/>
      <c r="AJ124" s="1062"/>
      <c r="AK124" s="1062"/>
      <c r="AL124" s="1062"/>
      <c r="AM124" s="1062"/>
      <c r="AN124" s="1062"/>
      <c r="AO124" s="1062"/>
      <c r="AP124" s="1062"/>
      <c r="AQ124" s="1062"/>
      <c r="AR124" s="1062"/>
      <c r="AS124" s="1062"/>
      <c r="AT124" s="1062"/>
      <c r="AU124" s="1062"/>
      <c r="AV124" s="1062"/>
      <c r="AW124" s="1062"/>
    </row>
    <row r="125" spans="2:49" x14ac:dyDescent="0.2">
      <c r="B125" s="1078"/>
      <c r="C125" s="1079"/>
      <c r="D125" s="1078"/>
      <c r="E125" s="1081"/>
      <c r="F125" s="1081"/>
      <c r="G125" s="1066"/>
      <c r="H125" s="1069"/>
      <c r="I125" s="1069"/>
      <c r="J125" s="1128" t="str">
        <f t="shared" si="6"/>
        <v/>
      </c>
      <c r="K125" s="1069"/>
      <c r="L125" s="1069"/>
      <c r="M125" s="1129" t="str">
        <f t="shared" si="7"/>
        <v/>
      </c>
      <c r="N125" s="1069"/>
      <c r="O125" s="1069"/>
      <c r="P125" s="1129" t="str">
        <f t="shared" si="8"/>
        <v/>
      </c>
      <c r="Q125" s="1069"/>
      <c r="R125" s="1069"/>
      <c r="S125" s="1129" t="str">
        <f t="shared" si="9"/>
        <v/>
      </c>
      <c r="T125" s="1068"/>
      <c r="U125" s="1069"/>
      <c r="V125" s="1267" t="str">
        <f t="shared" si="10"/>
        <v/>
      </c>
      <c r="W125" s="1062"/>
      <c r="X125" s="1062"/>
      <c r="Y125" s="1062"/>
      <c r="Z125" s="1062"/>
      <c r="AA125" s="1062"/>
      <c r="AB125" s="1062"/>
      <c r="AC125" s="1062"/>
      <c r="AD125" s="1062"/>
      <c r="AE125" s="1062"/>
      <c r="AF125" s="1062"/>
      <c r="AG125" s="1062"/>
      <c r="AH125" s="1062"/>
      <c r="AI125" s="1062"/>
      <c r="AJ125" s="1062"/>
      <c r="AK125" s="1062"/>
      <c r="AL125" s="1062"/>
      <c r="AM125" s="1062"/>
      <c r="AN125" s="1062"/>
      <c r="AO125" s="1062"/>
      <c r="AP125" s="1062"/>
      <c r="AQ125" s="1062"/>
      <c r="AR125" s="1062"/>
      <c r="AS125" s="1062"/>
      <c r="AT125" s="1062"/>
      <c r="AU125" s="1062"/>
      <c r="AV125" s="1062"/>
      <c r="AW125" s="1062"/>
    </row>
    <row r="126" spans="2:49" x14ac:dyDescent="0.2">
      <c r="B126" s="1078"/>
      <c r="C126" s="1079"/>
      <c r="D126" s="1078"/>
      <c r="E126" s="1081"/>
      <c r="F126" s="1081"/>
      <c r="G126" s="1066"/>
      <c r="H126" s="1069"/>
      <c r="I126" s="1069"/>
      <c r="J126" s="1128" t="str">
        <f t="shared" si="6"/>
        <v/>
      </c>
      <c r="K126" s="1069"/>
      <c r="L126" s="1069"/>
      <c r="M126" s="1129" t="str">
        <f t="shared" si="7"/>
        <v/>
      </c>
      <c r="N126" s="1069"/>
      <c r="O126" s="1069"/>
      <c r="P126" s="1129" t="str">
        <f t="shared" si="8"/>
        <v/>
      </c>
      <c r="Q126" s="1069"/>
      <c r="R126" s="1069"/>
      <c r="S126" s="1129" t="str">
        <f t="shared" si="9"/>
        <v/>
      </c>
      <c r="T126" s="1068"/>
      <c r="U126" s="1069"/>
      <c r="V126" s="1267" t="str">
        <f t="shared" si="10"/>
        <v/>
      </c>
      <c r="W126" s="1062"/>
      <c r="X126" s="1062"/>
      <c r="Y126" s="1062"/>
      <c r="Z126" s="1062"/>
      <c r="AA126" s="1062"/>
      <c r="AB126" s="1062"/>
      <c r="AC126" s="1062"/>
      <c r="AD126" s="1062"/>
      <c r="AE126" s="1062"/>
      <c r="AF126" s="1062"/>
      <c r="AG126" s="1062"/>
      <c r="AH126" s="1062"/>
      <c r="AI126" s="1062"/>
      <c r="AJ126" s="1062"/>
      <c r="AK126" s="1062"/>
      <c r="AL126" s="1062"/>
      <c r="AM126" s="1062"/>
      <c r="AN126" s="1062"/>
      <c r="AO126" s="1062"/>
      <c r="AP126" s="1062"/>
      <c r="AQ126" s="1062"/>
      <c r="AR126" s="1062"/>
      <c r="AS126" s="1062"/>
      <c r="AT126" s="1062"/>
      <c r="AU126" s="1062"/>
      <c r="AV126" s="1062"/>
      <c r="AW126" s="1062"/>
    </row>
    <row r="127" spans="2:49" x14ac:dyDescent="0.2">
      <c r="B127" s="1078"/>
      <c r="C127" s="1079"/>
      <c r="D127" s="1078"/>
      <c r="E127" s="1081"/>
      <c r="F127" s="1081"/>
      <c r="G127" s="1066"/>
      <c r="H127" s="1069"/>
      <c r="I127" s="1069"/>
      <c r="J127" s="1128" t="str">
        <f t="shared" si="6"/>
        <v/>
      </c>
      <c r="K127" s="1069"/>
      <c r="L127" s="1069"/>
      <c r="M127" s="1129" t="str">
        <f t="shared" si="7"/>
        <v/>
      </c>
      <c r="N127" s="1069"/>
      <c r="O127" s="1069"/>
      <c r="P127" s="1129" t="str">
        <f t="shared" si="8"/>
        <v/>
      </c>
      <c r="Q127" s="1069"/>
      <c r="R127" s="1069"/>
      <c r="S127" s="1129" t="str">
        <f t="shared" si="9"/>
        <v/>
      </c>
      <c r="T127" s="1068"/>
      <c r="U127" s="1069"/>
      <c r="V127" s="1267" t="str">
        <f t="shared" si="10"/>
        <v/>
      </c>
      <c r="W127" s="1062"/>
      <c r="X127" s="1062"/>
      <c r="Y127" s="1062"/>
      <c r="Z127" s="1062"/>
      <c r="AA127" s="1062"/>
      <c r="AB127" s="1062"/>
      <c r="AC127" s="1062"/>
      <c r="AD127" s="1062"/>
      <c r="AE127" s="1062"/>
      <c r="AF127" s="1062"/>
      <c r="AG127" s="1062"/>
      <c r="AH127" s="1062"/>
      <c r="AI127" s="1062"/>
      <c r="AJ127" s="1062"/>
      <c r="AK127" s="1062"/>
      <c r="AL127" s="1062"/>
      <c r="AM127" s="1062"/>
      <c r="AN127" s="1062"/>
      <c r="AO127" s="1062"/>
      <c r="AP127" s="1062"/>
      <c r="AQ127" s="1062"/>
      <c r="AR127" s="1062"/>
      <c r="AS127" s="1062"/>
      <c r="AT127" s="1062"/>
      <c r="AU127" s="1062"/>
      <c r="AV127" s="1062"/>
      <c r="AW127" s="1062"/>
    </row>
    <row r="128" spans="2:49" x14ac:dyDescent="0.2">
      <c r="B128" s="1078"/>
      <c r="C128" s="1079"/>
      <c r="D128" s="1078"/>
      <c r="E128" s="1081"/>
      <c r="F128" s="1081"/>
      <c r="G128" s="1066"/>
      <c r="H128" s="1069"/>
      <c r="I128" s="1069"/>
      <c r="J128" s="1128" t="str">
        <f t="shared" si="6"/>
        <v/>
      </c>
      <c r="K128" s="1069"/>
      <c r="L128" s="1069"/>
      <c r="M128" s="1129" t="str">
        <f t="shared" si="7"/>
        <v/>
      </c>
      <c r="N128" s="1069"/>
      <c r="O128" s="1069"/>
      <c r="P128" s="1129" t="str">
        <f t="shared" si="8"/>
        <v/>
      </c>
      <c r="Q128" s="1069"/>
      <c r="R128" s="1069"/>
      <c r="S128" s="1129" t="str">
        <f t="shared" si="9"/>
        <v/>
      </c>
      <c r="T128" s="1068"/>
      <c r="U128" s="1069"/>
      <c r="V128" s="1267" t="str">
        <f t="shared" si="10"/>
        <v/>
      </c>
      <c r="W128" s="1062"/>
      <c r="X128" s="1062"/>
      <c r="Y128" s="1062"/>
      <c r="Z128" s="1062"/>
      <c r="AA128" s="1062"/>
      <c r="AB128" s="1062"/>
      <c r="AC128" s="1062"/>
      <c r="AD128" s="1062"/>
      <c r="AE128" s="1062"/>
      <c r="AF128" s="1062"/>
      <c r="AG128" s="1062"/>
      <c r="AH128" s="1062"/>
      <c r="AI128" s="1062"/>
      <c r="AJ128" s="1062"/>
      <c r="AK128" s="1062"/>
      <c r="AL128" s="1062"/>
      <c r="AM128" s="1062"/>
      <c r="AN128" s="1062"/>
      <c r="AO128" s="1062"/>
      <c r="AP128" s="1062"/>
      <c r="AQ128" s="1062"/>
      <c r="AR128" s="1062"/>
      <c r="AS128" s="1062"/>
      <c r="AT128" s="1062"/>
      <c r="AU128" s="1062"/>
      <c r="AV128" s="1062"/>
      <c r="AW128" s="1062"/>
    </row>
    <row r="129" spans="2:49" x14ac:dyDescent="0.2">
      <c r="B129" s="1078"/>
      <c r="C129" s="1079"/>
      <c r="D129" s="1078"/>
      <c r="E129" s="1081"/>
      <c r="F129" s="1081"/>
      <c r="G129" s="1066"/>
      <c r="H129" s="1069"/>
      <c r="I129" s="1069"/>
      <c r="J129" s="1128" t="str">
        <f t="shared" si="6"/>
        <v/>
      </c>
      <c r="K129" s="1069"/>
      <c r="L129" s="1069"/>
      <c r="M129" s="1129" t="str">
        <f t="shared" si="7"/>
        <v/>
      </c>
      <c r="N129" s="1069"/>
      <c r="O129" s="1069"/>
      <c r="P129" s="1129" t="str">
        <f t="shared" si="8"/>
        <v/>
      </c>
      <c r="Q129" s="1069"/>
      <c r="R129" s="1069"/>
      <c r="S129" s="1129" t="str">
        <f t="shared" si="9"/>
        <v/>
      </c>
      <c r="T129" s="1068"/>
      <c r="U129" s="1069"/>
      <c r="V129" s="1267" t="str">
        <f t="shared" si="10"/>
        <v/>
      </c>
      <c r="W129" s="1062"/>
      <c r="X129" s="1062"/>
      <c r="Y129" s="1062"/>
      <c r="Z129" s="1062"/>
      <c r="AA129" s="1062"/>
      <c r="AB129" s="1062"/>
      <c r="AC129" s="1062"/>
      <c r="AD129" s="1062"/>
      <c r="AE129" s="1062"/>
      <c r="AF129" s="1062"/>
      <c r="AG129" s="1062"/>
      <c r="AH129" s="1062"/>
      <c r="AI129" s="1062"/>
      <c r="AJ129" s="1062"/>
      <c r="AK129" s="1062"/>
      <c r="AL129" s="1062"/>
      <c r="AM129" s="1062"/>
      <c r="AN129" s="1062"/>
      <c r="AO129" s="1062"/>
      <c r="AP129" s="1062"/>
      <c r="AQ129" s="1062"/>
      <c r="AR129" s="1062"/>
      <c r="AS129" s="1062"/>
      <c r="AT129" s="1062"/>
      <c r="AU129" s="1062"/>
      <c r="AV129" s="1062"/>
      <c r="AW129" s="1062"/>
    </row>
    <row r="130" spans="2:49" x14ac:dyDescent="0.2">
      <c r="B130" s="1078"/>
      <c r="C130" s="1079"/>
      <c r="D130" s="1078"/>
      <c r="E130" s="1081"/>
      <c r="F130" s="1081"/>
      <c r="G130" s="1066"/>
      <c r="H130" s="1069"/>
      <c r="I130" s="1069"/>
      <c r="J130" s="1128" t="str">
        <f t="shared" si="6"/>
        <v/>
      </c>
      <c r="K130" s="1069"/>
      <c r="L130" s="1069"/>
      <c r="M130" s="1129" t="str">
        <f t="shared" si="7"/>
        <v/>
      </c>
      <c r="N130" s="1069"/>
      <c r="O130" s="1069"/>
      <c r="P130" s="1129" t="str">
        <f t="shared" si="8"/>
        <v/>
      </c>
      <c r="Q130" s="1069"/>
      <c r="R130" s="1069"/>
      <c r="S130" s="1129" t="str">
        <f t="shared" si="9"/>
        <v/>
      </c>
      <c r="T130" s="1068"/>
      <c r="U130" s="1069"/>
      <c r="V130" s="1267" t="str">
        <f t="shared" si="10"/>
        <v/>
      </c>
      <c r="W130" s="1062"/>
      <c r="X130" s="1062"/>
      <c r="Y130" s="1062"/>
      <c r="Z130" s="1062"/>
      <c r="AA130" s="1062"/>
      <c r="AB130" s="1062"/>
      <c r="AC130" s="1062"/>
      <c r="AD130" s="1062"/>
      <c r="AE130" s="1062"/>
      <c r="AF130" s="1062"/>
      <c r="AG130" s="1062"/>
      <c r="AH130" s="1062"/>
      <c r="AI130" s="1062"/>
      <c r="AJ130" s="1062"/>
      <c r="AK130" s="1062"/>
      <c r="AL130" s="1062"/>
      <c r="AM130" s="1062"/>
      <c r="AN130" s="1062"/>
      <c r="AO130" s="1062"/>
      <c r="AP130" s="1062"/>
      <c r="AQ130" s="1062"/>
      <c r="AR130" s="1062"/>
      <c r="AS130" s="1062"/>
      <c r="AT130" s="1062"/>
      <c r="AU130" s="1062"/>
      <c r="AV130" s="1062"/>
      <c r="AW130" s="1062"/>
    </row>
    <row r="131" spans="2:49" x14ac:dyDescent="0.2">
      <c r="B131" s="1078"/>
      <c r="C131" s="1079"/>
      <c r="D131" s="1078"/>
      <c r="E131" s="1081"/>
      <c r="F131" s="1081"/>
      <c r="G131" s="1066"/>
      <c r="H131" s="1069"/>
      <c r="I131" s="1069"/>
      <c r="J131" s="1128" t="str">
        <f t="shared" si="6"/>
        <v/>
      </c>
      <c r="K131" s="1069"/>
      <c r="L131" s="1069"/>
      <c r="M131" s="1129" t="str">
        <f t="shared" si="7"/>
        <v/>
      </c>
      <c r="N131" s="1069"/>
      <c r="O131" s="1069"/>
      <c r="P131" s="1129" t="str">
        <f t="shared" si="8"/>
        <v/>
      </c>
      <c r="Q131" s="1069"/>
      <c r="R131" s="1069"/>
      <c r="S131" s="1129" t="str">
        <f t="shared" si="9"/>
        <v/>
      </c>
      <c r="T131" s="1068"/>
      <c r="U131" s="1069"/>
      <c r="V131" s="1267" t="str">
        <f t="shared" si="10"/>
        <v/>
      </c>
      <c r="W131" s="1062"/>
      <c r="X131" s="1062"/>
      <c r="Y131" s="1062"/>
      <c r="Z131" s="1062"/>
      <c r="AA131" s="1062"/>
      <c r="AB131" s="1062"/>
      <c r="AC131" s="1062"/>
      <c r="AD131" s="1062"/>
      <c r="AE131" s="1062"/>
      <c r="AF131" s="1062"/>
      <c r="AG131" s="1062"/>
      <c r="AH131" s="1062"/>
      <c r="AI131" s="1062"/>
      <c r="AJ131" s="1062"/>
      <c r="AK131" s="1062"/>
      <c r="AL131" s="1062"/>
      <c r="AM131" s="1062"/>
      <c r="AN131" s="1062"/>
      <c r="AO131" s="1062"/>
      <c r="AP131" s="1062"/>
      <c r="AQ131" s="1062"/>
      <c r="AR131" s="1062"/>
      <c r="AS131" s="1062"/>
      <c r="AT131" s="1062"/>
      <c r="AU131" s="1062"/>
      <c r="AV131" s="1062"/>
      <c r="AW131" s="1062"/>
    </row>
    <row r="132" spans="2:49" x14ac:dyDescent="0.2">
      <c r="B132" s="1078"/>
      <c r="C132" s="1079"/>
      <c r="D132" s="1078"/>
      <c r="E132" s="1081"/>
      <c r="F132" s="1081"/>
      <c r="G132" s="1066"/>
      <c r="H132" s="1069"/>
      <c r="I132" s="1069"/>
      <c r="J132" s="1128" t="str">
        <f t="shared" si="6"/>
        <v/>
      </c>
      <c r="K132" s="1069"/>
      <c r="L132" s="1069"/>
      <c r="M132" s="1129" t="str">
        <f t="shared" si="7"/>
        <v/>
      </c>
      <c r="N132" s="1069"/>
      <c r="O132" s="1069"/>
      <c r="P132" s="1129" t="str">
        <f t="shared" si="8"/>
        <v/>
      </c>
      <c r="Q132" s="1069"/>
      <c r="R132" s="1069"/>
      <c r="S132" s="1129" t="str">
        <f t="shared" si="9"/>
        <v/>
      </c>
      <c r="T132" s="1068"/>
      <c r="U132" s="1069"/>
      <c r="V132" s="1267" t="str">
        <f t="shared" si="10"/>
        <v/>
      </c>
      <c r="W132" s="1062"/>
      <c r="X132" s="1062"/>
      <c r="Y132" s="1062"/>
      <c r="Z132" s="1062"/>
      <c r="AA132" s="1062"/>
      <c r="AB132" s="1062"/>
      <c r="AC132" s="1062"/>
      <c r="AD132" s="1062"/>
      <c r="AE132" s="1062"/>
      <c r="AF132" s="1062"/>
      <c r="AG132" s="1062"/>
      <c r="AH132" s="1062"/>
      <c r="AI132" s="1062"/>
      <c r="AJ132" s="1062"/>
      <c r="AK132" s="1062"/>
      <c r="AL132" s="1062"/>
      <c r="AM132" s="1062"/>
      <c r="AN132" s="1062"/>
      <c r="AO132" s="1062"/>
      <c r="AP132" s="1062"/>
      <c r="AQ132" s="1062"/>
      <c r="AR132" s="1062"/>
      <c r="AS132" s="1062"/>
      <c r="AT132" s="1062"/>
      <c r="AU132" s="1062"/>
      <c r="AV132" s="1062"/>
      <c r="AW132" s="1062"/>
    </row>
    <row r="133" spans="2:49" x14ac:dyDescent="0.2">
      <c r="B133" s="1078"/>
      <c r="C133" s="1079"/>
      <c r="D133" s="1078"/>
      <c r="E133" s="1081"/>
      <c r="F133" s="1081"/>
      <c r="G133" s="1066"/>
      <c r="H133" s="1069"/>
      <c r="I133" s="1069"/>
      <c r="J133" s="1128" t="str">
        <f t="shared" si="6"/>
        <v/>
      </c>
      <c r="K133" s="1069"/>
      <c r="L133" s="1069"/>
      <c r="M133" s="1129" t="str">
        <f t="shared" si="7"/>
        <v/>
      </c>
      <c r="N133" s="1069"/>
      <c r="O133" s="1069"/>
      <c r="P133" s="1129" t="str">
        <f t="shared" si="8"/>
        <v/>
      </c>
      <c r="Q133" s="1069"/>
      <c r="R133" s="1069"/>
      <c r="S133" s="1129" t="str">
        <f t="shared" si="9"/>
        <v/>
      </c>
      <c r="T133" s="1068"/>
      <c r="U133" s="1069"/>
      <c r="V133" s="1267" t="str">
        <f t="shared" si="10"/>
        <v/>
      </c>
      <c r="W133" s="1062"/>
      <c r="X133" s="1062"/>
      <c r="Y133" s="1062"/>
      <c r="Z133" s="1062"/>
      <c r="AA133" s="1062"/>
      <c r="AB133" s="1062"/>
      <c r="AC133" s="1062"/>
      <c r="AD133" s="1062"/>
      <c r="AE133" s="1062"/>
      <c r="AF133" s="1062"/>
      <c r="AG133" s="1062"/>
      <c r="AH133" s="1062"/>
      <c r="AI133" s="1062"/>
      <c r="AJ133" s="1062"/>
      <c r="AK133" s="1062"/>
      <c r="AL133" s="1062"/>
      <c r="AM133" s="1062"/>
      <c r="AN133" s="1062"/>
      <c r="AO133" s="1062"/>
      <c r="AP133" s="1062"/>
      <c r="AQ133" s="1062"/>
      <c r="AR133" s="1062"/>
      <c r="AS133" s="1062"/>
      <c r="AT133" s="1062"/>
      <c r="AU133" s="1062"/>
      <c r="AV133" s="1062"/>
      <c r="AW133" s="1062"/>
    </row>
    <row r="134" spans="2:49" x14ac:dyDescent="0.2">
      <c r="B134" s="1078"/>
      <c r="C134" s="1079"/>
      <c r="D134" s="1078"/>
      <c r="E134" s="1081"/>
      <c r="F134" s="1081"/>
      <c r="G134" s="1066"/>
      <c r="H134" s="1069"/>
      <c r="I134" s="1069"/>
      <c r="J134" s="1128" t="str">
        <f t="shared" si="6"/>
        <v/>
      </c>
      <c r="K134" s="1069"/>
      <c r="L134" s="1069"/>
      <c r="M134" s="1129" t="str">
        <f t="shared" si="7"/>
        <v/>
      </c>
      <c r="N134" s="1069"/>
      <c r="O134" s="1069"/>
      <c r="P134" s="1129" t="str">
        <f t="shared" si="8"/>
        <v/>
      </c>
      <c r="Q134" s="1069"/>
      <c r="R134" s="1069"/>
      <c r="S134" s="1129" t="str">
        <f t="shared" si="9"/>
        <v/>
      </c>
      <c r="T134" s="1068"/>
      <c r="U134" s="1069"/>
      <c r="V134" s="1267" t="str">
        <f t="shared" si="10"/>
        <v/>
      </c>
      <c r="W134" s="1062"/>
      <c r="X134" s="1062"/>
      <c r="Y134" s="1062"/>
      <c r="Z134" s="1062"/>
      <c r="AA134" s="1062"/>
      <c r="AB134" s="1062"/>
      <c r="AC134" s="1062"/>
      <c r="AD134" s="1062"/>
      <c r="AE134" s="1062"/>
      <c r="AF134" s="1062"/>
      <c r="AG134" s="1062"/>
      <c r="AH134" s="1062"/>
      <c r="AI134" s="1062"/>
      <c r="AJ134" s="1062"/>
      <c r="AK134" s="1062"/>
      <c r="AL134" s="1062"/>
      <c r="AM134" s="1062"/>
      <c r="AN134" s="1062"/>
      <c r="AO134" s="1062"/>
      <c r="AP134" s="1062"/>
      <c r="AQ134" s="1062"/>
      <c r="AR134" s="1062"/>
      <c r="AS134" s="1062"/>
      <c r="AT134" s="1062"/>
      <c r="AU134" s="1062"/>
      <c r="AV134" s="1062"/>
      <c r="AW134" s="1062"/>
    </row>
    <row r="135" spans="2:49" x14ac:dyDescent="0.2">
      <c r="B135" s="1078"/>
      <c r="C135" s="1079"/>
      <c r="D135" s="1078"/>
      <c r="E135" s="1081"/>
      <c r="F135" s="1081"/>
      <c r="G135" s="1066"/>
      <c r="H135" s="1069"/>
      <c r="I135" s="1069"/>
      <c r="J135" s="1128" t="str">
        <f t="shared" si="6"/>
        <v/>
      </c>
      <c r="K135" s="1069"/>
      <c r="L135" s="1069"/>
      <c r="M135" s="1129" t="str">
        <f t="shared" si="7"/>
        <v/>
      </c>
      <c r="N135" s="1069"/>
      <c r="O135" s="1069"/>
      <c r="P135" s="1129" t="str">
        <f t="shared" si="8"/>
        <v/>
      </c>
      <c r="Q135" s="1069"/>
      <c r="R135" s="1069"/>
      <c r="S135" s="1129" t="str">
        <f t="shared" si="9"/>
        <v/>
      </c>
      <c r="T135" s="1068"/>
      <c r="U135" s="1069"/>
      <c r="V135" s="1267" t="str">
        <f t="shared" si="10"/>
        <v/>
      </c>
      <c r="W135" s="1062"/>
      <c r="X135" s="1062"/>
      <c r="Y135" s="1062"/>
      <c r="Z135" s="1062"/>
      <c r="AA135" s="1062"/>
      <c r="AB135" s="1062"/>
      <c r="AC135" s="1062"/>
      <c r="AD135" s="1062"/>
      <c r="AE135" s="1062"/>
      <c r="AF135" s="1062"/>
      <c r="AG135" s="1062"/>
      <c r="AH135" s="1062"/>
      <c r="AI135" s="1062"/>
      <c r="AJ135" s="1062"/>
      <c r="AK135" s="1062"/>
      <c r="AL135" s="1062"/>
      <c r="AM135" s="1062"/>
      <c r="AN135" s="1062"/>
      <c r="AO135" s="1062"/>
      <c r="AP135" s="1062"/>
      <c r="AQ135" s="1062"/>
      <c r="AR135" s="1062"/>
      <c r="AS135" s="1062"/>
      <c r="AT135" s="1062"/>
      <c r="AU135" s="1062"/>
      <c r="AV135" s="1062"/>
      <c r="AW135" s="1062"/>
    </row>
    <row r="136" spans="2:49" x14ac:dyDescent="0.2">
      <c r="B136" s="1078"/>
      <c r="C136" s="1079"/>
      <c r="D136" s="1078"/>
      <c r="E136" s="1081"/>
      <c r="F136" s="1081"/>
      <c r="G136" s="1066"/>
      <c r="H136" s="1069"/>
      <c r="I136" s="1069"/>
      <c r="J136" s="1128" t="str">
        <f t="shared" si="6"/>
        <v/>
      </c>
      <c r="K136" s="1069"/>
      <c r="L136" s="1069"/>
      <c r="M136" s="1129" t="str">
        <f t="shared" si="7"/>
        <v/>
      </c>
      <c r="N136" s="1069"/>
      <c r="O136" s="1069"/>
      <c r="P136" s="1129" t="str">
        <f t="shared" si="8"/>
        <v/>
      </c>
      <c r="Q136" s="1069"/>
      <c r="R136" s="1069"/>
      <c r="S136" s="1129" t="str">
        <f t="shared" si="9"/>
        <v/>
      </c>
      <c r="T136" s="1068"/>
      <c r="U136" s="1069"/>
      <c r="V136" s="1267" t="str">
        <f t="shared" si="10"/>
        <v/>
      </c>
      <c r="W136" s="1062"/>
      <c r="X136" s="1062"/>
      <c r="Y136" s="1062"/>
      <c r="Z136" s="1062"/>
      <c r="AA136" s="1062"/>
      <c r="AB136" s="1062"/>
      <c r="AC136" s="1062"/>
      <c r="AD136" s="1062"/>
      <c r="AE136" s="1062"/>
      <c r="AF136" s="1062"/>
      <c r="AG136" s="1062"/>
      <c r="AH136" s="1062"/>
      <c r="AI136" s="1062"/>
      <c r="AJ136" s="1062"/>
      <c r="AK136" s="1062"/>
      <c r="AL136" s="1062"/>
      <c r="AM136" s="1062"/>
      <c r="AN136" s="1062"/>
      <c r="AO136" s="1062"/>
      <c r="AP136" s="1062"/>
      <c r="AQ136" s="1062"/>
      <c r="AR136" s="1062"/>
      <c r="AS136" s="1062"/>
      <c r="AT136" s="1062"/>
      <c r="AU136" s="1062"/>
      <c r="AV136" s="1062"/>
      <c r="AW136" s="1062"/>
    </row>
    <row r="137" spans="2:49" x14ac:dyDescent="0.2">
      <c r="B137" s="1078"/>
      <c r="C137" s="1079"/>
      <c r="D137" s="1078"/>
      <c r="E137" s="1081"/>
      <c r="F137" s="1081"/>
      <c r="G137" s="1066"/>
      <c r="H137" s="1069"/>
      <c r="I137" s="1069"/>
      <c r="J137" s="1128" t="str">
        <f t="shared" si="6"/>
        <v/>
      </c>
      <c r="K137" s="1069"/>
      <c r="L137" s="1069"/>
      <c r="M137" s="1129" t="str">
        <f t="shared" si="7"/>
        <v/>
      </c>
      <c r="N137" s="1069"/>
      <c r="O137" s="1069"/>
      <c r="P137" s="1129" t="str">
        <f t="shared" si="8"/>
        <v/>
      </c>
      <c r="Q137" s="1069"/>
      <c r="R137" s="1069"/>
      <c r="S137" s="1129" t="str">
        <f t="shared" si="9"/>
        <v/>
      </c>
      <c r="T137" s="1068"/>
      <c r="U137" s="1069"/>
      <c r="V137" s="1267" t="str">
        <f t="shared" si="10"/>
        <v/>
      </c>
      <c r="W137" s="1062"/>
      <c r="X137" s="1062"/>
      <c r="Y137" s="1062"/>
      <c r="Z137" s="1062"/>
      <c r="AA137" s="1062"/>
      <c r="AB137" s="1062"/>
      <c r="AC137" s="1062"/>
      <c r="AD137" s="1062"/>
      <c r="AE137" s="1062"/>
      <c r="AF137" s="1062"/>
      <c r="AG137" s="1062"/>
      <c r="AH137" s="1062"/>
      <c r="AI137" s="1062"/>
      <c r="AJ137" s="1062"/>
      <c r="AK137" s="1062"/>
      <c r="AL137" s="1062"/>
      <c r="AM137" s="1062"/>
      <c r="AN137" s="1062"/>
      <c r="AO137" s="1062"/>
      <c r="AP137" s="1062"/>
      <c r="AQ137" s="1062"/>
      <c r="AR137" s="1062"/>
      <c r="AS137" s="1062"/>
      <c r="AT137" s="1062"/>
      <c r="AU137" s="1062"/>
      <c r="AV137" s="1062"/>
      <c r="AW137" s="1062"/>
    </row>
    <row r="138" spans="2:49" x14ac:dyDescent="0.2">
      <c r="B138" s="1078"/>
      <c r="C138" s="1079"/>
      <c r="D138" s="1078"/>
      <c r="E138" s="1081"/>
      <c r="F138" s="1081"/>
      <c r="G138" s="1066"/>
      <c r="H138" s="1069"/>
      <c r="I138" s="1069"/>
      <c r="J138" s="1128" t="str">
        <f t="shared" si="6"/>
        <v/>
      </c>
      <c r="K138" s="1069"/>
      <c r="L138" s="1069"/>
      <c r="M138" s="1129" t="str">
        <f t="shared" si="7"/>
        <v/>
      </c>
      <c r="N138" s="1069"/>
      <c r="O138" s="1069"/>
      <c r="P138" s="1129" t="str">
        <f t="shared" si="8"/>
        <v/>
      </c>
      <c r="Q138" s="1069"/>
      <c r="R138" s="1069"/>
      <c r="S138" s="1129" t="str">
        <f t="shared" si="9"/>
        <v/>
      </c>
      <c r="T138" s="1068"/>
      <c r="U138" s="1069"/>
      <c r="V138" s="1267" t="str">
        <f t="shared" si="10"/>
        <v/>
      </c>
      <c r="W138" s="1062"/>
      <c r="X138" s="1062"/>
      <c r="Y138" s="1062"/>
      <c r="Z138" s="1062"/>
      <c r="AA138" s="1062"/>
      <c r="AB138" s="1062"/>
      <c r="AC138" s="1062"/>
      <c r="AD138" s="1062"/>
      <c r="AE138" s="1062"/>
      <c r="AF138" s="1062"/>
      <c r="AG138" s="1062"/>
      <c r="AH138" s="1062"/>
      <c r="AI138" s="1062"/>
      <c r="AJ138" s="1062"/>
      <c r="AK138" s="1062"/>
      <c r="AL138" s="1062"/>
      <c r="AM138" s="1062"/>
      <c r="AN138" s="1062"/>
      <c r="AO138" s="1062"/>
      <c r="AP138" s="1062"/>
      <c r="AQ138" s="1062"/>
      <c r="AR138" s="1062"/>
      <c r="AS138" s="1062"/>
      <c r="AT138" s="1062"/>
      <c r="AU138" s="1062"/>
      <c r="AV138" s="1062"/>
      <c r="AW138" s="1062"/>
    </row>
    <row r="139" spans="2:49" x14ac:dyDescent="0.2">
      <c r="B139" s="1078"/>
      <c r="C139" s="1079"/>
      <c r="D139" s="1078"/>
      <c r="E139" s="1081"/>
      <c r="F139" s="1081"/>
      <c r="G139" s="1066"/>
      <c r="H139" s="1069"/>
      <c r="I139" s="1069"/>
      <c r="J139" s="1128" t="str">
        <f t="shared" si="6"/>
        <v/>
      </c>
      <c r="K139" s="1069"/>
      <c r="L139" s="1069"/>
      <c r="M139" s="1129" t="str">
        <f t="shared" si="7"/>
        <v/>
      </c>
      <c r="N139" s="1069"/>
      <c r="O139" s="1069"/>
      <c r="P139" s="1129" t="str">
        <f t="shared" si="8"/>
        <v/>
      </c>
      <c r="Q139" s="1069"/>
      <c r="R139" s="1069"/>
      <c r="S139" s="1129" t="str">
        <f t="shared" si="9"/>
        <v/>
      </c>
      <c r="T139" s="1068"/>
      <c r="U139" s="1069"/>
      <c r="V139" s="1267" t="str">
        <f t="shared" si="10"/>
        <v/>
      </c>
      <c r="W139" s="1062"/>
      <c r="X139" s="1062"/>
      <c r="Y139" s="1062"/>
      <c r="Z139" s="1062"/>
      <c r="AA139" s="1062"/>
      <c r="AB139" s="1062"/>
      <c r="AC139" s="1062"/>
      <c r="AD139" s="1062"/>
      <c r="AE139" s="1062"/>
      <c r="AF139" s="1062"/>
      <c r="AG139" s="1062"/>
      <c r="AH139" s="1062"/>
      <c r="AI139" s="1062"/>
      <c r="AJ139" s="1062"/>
      <c r="AK139" s="1062"/>
      <c r="AL139" s="1062"/>
      <c r="AM139" s="1062"/>
      <c r="AN139" s="1062"/>
      <c r="AO139" s="1062"/>
      <c r="AP139" s="1062"/>
      <c r="AQ139" s="1062"/>
      <c r="AR139" s="1062"/>
      <c r="AS139" s="1062"/>
      <c r="AT139" s="1062"/>
      <c r="AU139" s="1062"/>
      <c r="AV139" s="1062"/>
      <c r="AW139" s="1062"/>
    </row>
    <row r="140" spans="2:49" x14ac:dyDescent="0.2">
      <c r="B140" s="1078"/>
      <c r="C140" s="1079"/>
      <c r="D140" s="1078"/>
      <c r="E140" s="1081"/>
      <c r="F140" s="1081"/>
      <c r="G140" s="1066"/>
      <c r="H140" s="1069"/>
      <c r="I140" s="1069"/>
      <c r="J140" s="1128" t="str">
        <f t="shared" si="6"/>
        <v/>
      </c>
      <c r="K140" s="1069"/>
      <c r="L140" s="1069"/>
      <c r="M140" s="1129" t="str">
        <f t="shared" si="7"/>
        <v/>
      </c>
      <c r="N140" s="1069"/>
      <c r="O140" s="1069"/>
      <c r="P140" s="1129" t="str">
        <f t="shared" si="8"/>
        <v/>
      </c>
      <c r="Q140" s="1069"/>
      <c r="R140" s="1069"/>
      <c r="S140" s="1129" t="str">
        <f t="shared" si="9"/>
        <v/>
      </c>
      <c r="T140" s="1068"/>
      <c r="U140" s="1069"/>
      <c r="V140" s="1267" t="str">
        <f t="shared" si="10"/>
        <v/>
      </c>
      <c r="W140" s="1062"/>
      <c r="X140" s="1062"/>
      <c r="Y140" s="1062"/>
      <c r="Z140" s="1062"/>
      <c r="AA140" s="1062"/>
      <c r="AB140" s="1062"/>
      <c r="AC140" s="1062"/>
      <c r="AD140" s="1062"/>
      <c r="AE140" s="1062"/>
      <c r="AF140" s="1062"/>
      <c r="AG140" s="1062"/>
      <c r="AH140" s="1062"/>
      <c r="AI140" s="1062"/>
      <c r="AJ140" s="1062"/>
      <c r="AK140" s="1062"/>
      <c r="AL140" s="1062"/>
      <c r="AM140" s="1062"/>
      <c r="AN140" s="1062"/>
      <c r="AO140" s="1062"/>
      <c r="AP140" s="1062"/>
      <c r="AQ140" s="1062"/>
      <c r="AR140" s="1062"/>
      <c r="AS140" s="1062"/>
      <c r="AT140" s="1062"/>
      <c r="AU140" s="1062"/>
      <c r="AV140" s="1062"/>
      <c r="AW140" s="1062"/>
    </row>
    <row r="141" spans="2:49" x14ac:dyDescent="0.2">
      <c r="B141" s="1078"/>
      <c r="C141" s="1079"/>
      <c r="D141" s="1078"/>
      <c r="E141" s="1081"/>
      <c r="F141" s="1081"/>
      <c r="G141" s="1066"/>
      <c r="H141" s="1069"/>
      <c r="I141" s="1069"/>
      <c r="J141" s="1128" t="str">
        <f t="shared" si="6"/>
        <v/>
      </c>
      <c r="K141" s="1069"/>
      <c r="L141" s="1069"/>
      <c r="M141" s="1129" t="str">
        <f t="shared" si="7"/>
        <v/>
      </c>
      <c r="N141" s="1069"/>
      <c r="O141" s="1069"/>
      <c r="P141" s="1129" t="str">
        <f t="shared" si="8"/>
        <v/>
      </c>
      <c r="Q141" s="1069"/>
      <c r="R141" s="1069"/>
      <c r="S141" s="1129" t="str">
        <f t="shared" si="9"/>
        <v/>
      </c>
      <c r="T141" s="1068"/>
      <c r="U141" s="1069"/>
      <c r="V141" s="1267" t="str">
        <f t="shared" si="10"/>
        <v/>
      </c>
      <c r="W141" s="1062"/>
      <c r="X141" s="1062"/>
      <c r="Y141" s="1062"/>
      <c r="Z141" s="1062"/>
      <c r="AA141" s="1062"/>
      <c r="AB141" s="1062"/>
      <c r="AC141" s="1062"/>
      <c r="AD141" s="1062"/>
      <c r="AE141" s="1062"/>
      <c r="AF141" s="1062"/>
      <c r="AG141" s="1062"/>
      <c r="AH141" s="1062"/>
      <c r="AI141" s="1062"/>
      <c r="AJ141" s="1062"/>
      <c r="AK141" s="1062"/>
      <c r="AL141" s="1062"/>
      <c r="AM141" s="1062"/>
      <c r="AN141" s="1062"/>
      <c r="AO141" s="1062"/>
      <c r="AP141" s="1062"/>
      <c r="AQ141" s="1062"/>
      <c r="AR141" s="1062"/>
      <c r="AS141" s="1062"/>
      <c r="AT141" s="1062"/>
      <c r="AU141" s="1062"/>
      <c r="AV141" s="1062"/>
      <c r="AW141" s="1062"/>
    </row>
    <row r="142" spans="2:49" x14ac:dyDescent="0.2">
      <c r="B142" s="1078"/>
      <c r="C142" s="1079"/>
      <c r="D142" s="1078"/>
      <c r="E142" s="1081"/>
      <c r="F142" s="1081"/>
      <c r="G142" s="1066"/>
      <c r="H142" s="1069"/>
      <c r="I142" s="1069"/>
      <c r="J142" s="1128" t="str">
        <f t="shared" si="6"/>
        <v/>
      </c>
      <c r="K142" s="1069"/>
      <c r="L142" s="1069"/>
      <c r="M142" s="1129" t="str">
        <f t="shared" si="7"/>
        <v/>
      </c>
      <c r="N142" s="1069"/>
      <c r="O142" s="1069"/>
      <c r="P142" s="1129" t="str">
        <f t="shared" si="8"/>
        <v/>
      </c>
      <c r="Q142" s="1069"/>
      <c r="R142" s="1069"/>
      <c r="S142" s="1129" t="str">
        <f t="shared" si="9"/>
        <v/>
      </c>
      <c r="T142" s="1068"/>
      <c r="U142" s="1069"/>
      <c r="V142" s="1267" t="str">
        <f t="shared" si="10"/>
        <v/>
      </c>
      <c r="W142" s="1062"/>
      <c r="X142" s="1062"/>
      <c r="Y142" s="1062"/>
      <c r="Z142" s="1062"/>
      <c r="AA142" s="1062"/>
      <c r="AB142" s="1062"/>
      <c r="AC142" s="1062"/>
      <c r="AD142" s="1062"/>
      <c r="AE142" s="1062"/>
      <c r="AF142" s="1062"/>
      <c r="AG142" s="1062"/>
      <c r="AH142" s="1062"/>
      <c r="AI142" s="1062"/>
      <c r="AJ142" s="1062"/>
      <c r="AK142" s="1062"/>
      <c r="AL142" s="1062"/>
      <c r="AM142" s="1062"/>
      <c r="AN142" s="1062"/>
      <c r="AO142" s="1062"/>
      <c r="AP142" s="1062"/>
      <c r="AQ142" s="1062"/>
      <c r="AR142" s="1062"/>
      <c r="AS142" s="1062"/>
      <c r="AT142" s="1062"/>
      <c r="AU142" s="1062"/>
      <c r="AV142" s="1062"/>
      <c r="AW142" s="1062"/>
    </row>
    <row r="143" spans="2:49" x14ac:dyDescent="0.2">
      <c r="B143" s="1078"/>
      <c r="C143" s="1079"/>
      <c r="D143" s="1078"/>
      <c r="E143" s="1081"/>
      <c r="F143" s="1081"/>
      <c r="G143" s="1066"/>
      <c r="H143" s="1069"/>
      <c r="I143" s="1069"/>
      <c r="J143" s="1128" t="str">
        <f t="shared" si="6"/>
        <v/>
      </c>
      <c r="K143" s="1069"/>
      <c r="L143" s="1069"/>
      <c r="M143" s="1129" t="str">
        <f t="shared" si="7"/>
        <v/>
      </c>
      <c r="N143" s="1069"/>
      <c r="O143" s="1069"/>
      <c r="P143" s="1129" t="str">
        <f t="shared" si="8"/>
        <v/>
      </c>
      <c r="Q143" s="1069"/>
      <c r="R143" s="1069"/>
      <c r="S143" s="1129" t="str">
        <f t="shared" si="9"/>
        <v/>
      </c>
      <c r="T143" s="1068"/>
      <c r="U143" s="1069"/>
      <c r="V143" s="1267" t="str">
        <f t="shared" si="10"/>
        <v/>
      </c>
      <c r="W143" s="1062"/>
      <c r="X143" s="1062"/>
      <c r="Y143" s="1062"/>
      <c r="Z143" s="1062"/>
      <c r="AA143" s="1062"/>
      <c r="AB143" s="1062"/>
      <c r="AC143" s="1062"/>
      <c r="AD143" s="1062"/>
      <c r="AE143" s="1062"/>
      <c r="AF143" s="1062"/>
      <c r="AG143" s="1062"/>
      <c r="AH143" s="1062"/>
      <c r="AI143" s="1062"/>
      <c r="AJ143" s="1062"/>
      <c r="AK143" s="1062"/>
      <c r="AL143" s="1062"/>
      <c r="AM143" s="1062"/>
      <c r="AN143" s="1062"/>
      <c r="AO143" s="1062"/>
      <c r="AP143" s="1062"/>
      <c r="AQ143" s="1062"/>
      <c r="AR143" s="1062"/>
      <c r="AS143" s="1062"/>
      <c r="AT143" s="1062"/>
      <c r="AU143" s="1062"/>
      <c r="AV143" s="1062"/>
      <c r="AW143" s="1062"/>
    </row>
    <row r="144" spans="2:49" x14ac:dyDescent="0.2">
      <c r="B144" s="1078"/>
      <c r="C144" s="1079"/>
      <c r="D144" s="1078"/>
      <c r="E144" s="1081"/>
      <c r="F144" s="1081"/>
      <c r="G144" s="1066"/>
      <c r="H144" s="1069"/>
      <c r="I144" s="1069"/>
      <c r="J144" s="1128" t="str">
        <f t="shared" si="6"/>
        <v/>
      </c>
      <c r="K144" s="1069"/>
      <c r="L144" s="1069"/>
      <c r="M144" s="1129" t="str">
        <f t="shared" si="7"/>
        <v/>
      </c>
      <c r="N144" s="1069"/>
      <c r="O144" s="1069"/>
      <c r="P144" s="1129" t="str">
        <f t="shared" si="8"/>
        <v/>
      </c>
      <c r="Q144" s="1069"/>
      <c r="R144" s="1069"/>
      <c r="S144" s="1129" t="str">
        <f t="shared" si="9"/>
        <v/>
      </c>
      <c r="T144" s="1068"/>
      <c r="U144" s="1069"/>
      <c r="V144" s="1267" t="str">
        <f t="shared" si="10"/>
        <v/>
      </c>
      <c r="W144" s="1062"/>
      <c r="X144" s="1062"/>
      <c r="Y144" s="1062"/>
      <c r="Z144" s="1062"/>
      <c r="AA144" s="1062"/>
      <c r="AB144" s="1062"/>
      <c r="AC144" s="1062"/>
      <c r="AD144" s="1062"/>
      <c r="AE144" s="1062"/>
      <c r="AF144" s="1062"/>
      <c r="AG144" s="1062"/>
      <c r="AH144" s="1062"/>
      <c r="AI144" s="1062"/>
      <c r="AJ144" s="1062"/>
      <c r="AK144" s="1062"/>
      <c r="AL144" s="1062"/>
      <c r="AM144" s="1062"/>
      <c r="AN144" s="1062"/>
      <c r="AO144" s="1062"/>
      <c r="AP144" s="1062"/>
      <c r="AQ144" s="1062"/>
      <c r="AR144" s="1062"/>
      <c r="AS144" s="1062"/>
      <c r="AT144" s="1062"/>
      <c r="AU144" s="1062"/>
      <c r="AV144" s="1062"/>
      <c r="AW144" s="1062"/>
    </row>
    <row r="145" spans="2:49" x14ac:dyDescent="0.2">
      <c r="B145" s="1078"/>
      <c r="C145" s="1079"/>
      <c r="D145" s="1078"/>
      <c r="E145" s="1081"/>
      <c r="F145" s="1081"/>
      <c r="G145" s="1066"/>
      <c r="H145" s="1069"/>
      <c r="I145" s="1069"/>
      <c r="J145" s="1128" t="str">
        <f t="shared" si="6"/>
        <v/>
      </c>
      <c r="K145" s="1069"/>
      <c r="L145" s="1069"/>
      <c r="M145" s="1129" t="str">
        <f t="shared" si="7"/>
        <v/>
      </c>
      <c r="N145" s="1069"/>
      <c r="O145" s="1069"/>
      <c r="P145" s="1129" t="str">
        <f t="shared" si="8"/>
        <v/>
      </c>
      <c r="Q145" s="1069"/>
      <c r="R145" s="1069"/>
      <c r="S145" s="1129" t="str">
        <f t="shared" si="9"/>
        <v/>
      </c>
      <c r="T145" s="1068"/>
      <c r="U145" s="1069"/>
      <c r="V145" s="1267" t="str">
        <f t="shared" si="10"/>
        <v/>
      </c>
      <c r="W145" s="1062"/>
      <c r="X145" s="1062"/>
      <c r="Y145" s="1062"/>
      <c r="Z145" s="1062"/>
      <c r="AA145" s="1062"/>
      <c r="AB145" s="1062"/>
      <c r="AC145" s="1062"/>
      <c r="AD145" s="1062"/>
      <c r="AE145" s="1062"/>
      <c r="AF145" s="1062"/>
      <c r="AG145" s="1062"/>
      <c r="AH145" s="1062"/>
      <c r="AI145" s="1062"/>
      <c r="AJ145" s="1062"/>
      <c r="AK145" s="1062"/>
      <c r="AL145" s="1062"/>
      <c r="AM145" s="1062"/>
      <c r="AN145" s="1062"/>
      <c r="AO145" s="1062"/>
      <c r="AP145" s="1062"/>
      <c r="AQ145" s="1062"/>
      <c r="AR145" s="1062"/>
      <c r="AS145" s="1062"/>
      <c r="AT145" s="1062"/>
      <c r="AU145" s="1062"/>
      <c r="AV145" s="1062"/>
      <c r="AW145" s="1062"/>
    </row>
    <row r="146" spans="2:49" x14ac:dyDescent="0.2">
      <c r="B146" s="1078"/>
      <c r="C146" s="1079"/>
      <c r="D146" s="1078"/>
      <c r="E146" s="1081"/>
      <c r="F146" s="1081"/>
      <c r="G146" s="1066"/>
      <c r="H146" s="1069"/>
      <c r="I146" s="1069"/>
      <c r="J146" s="1128" t="str">
        <f t="shared" si="6"/>
        <v/>
      </c>
      <c r="K146" s="1069"/>
      <c r="L146" s="1069"/>
      <c r="M146" s="1129" t="str">
        <f t="shared" si="7"/>
        <v/>
      </c>
      <c r="N146" s="1069"/>
      <c r="O146" s="1069"/>
      <c r="P146" s="1129" t="str">
        <f t="shared" si="8"/>
        <v/>
      </c>
      <c r="Q146" s="1069"/>
      <c r="R146" s="1069"/>
      <c r="S146" s="1129" t="str">
        <f t="shared" si="9"/>
        <v/>
      </c>
      <c r="T146" s="1068"/>
      <c r="U146" s="1069"/>
      <c r="V146" s="1267" t="str">
        <f t="shared" si="10"/>
        <v/>
      </c>
      <c r="W146" s="1062"/>
      <c r="X146" s="1062"/>
      <c r="Y146" s="1062"/>
      <c r="Z146" s="1062"/>
      <c r="AA146" s="1062"/>
      <c r="AB146" s="1062"/>
      <c r="AC146" s="1062"/>
      <c r="AD146" s="1062"/>
      <c r="AE146" s="1062"/>
      <c r="AF146" s="1062"/>
      <c r="AG146" s="1062"/>
      <c r="AH146" s="1062"/>
      <c r="AI146" s="1062"/>
      <c r="AJ146" s="1062"/>
      <c r="AK146" s="1062"/>
      <c r="AL146" s="1062"/>
      <c r="AM146" s="1062"/>
      <c r="AN146" s="1062"/>
      <c r="AO146" s="1062"/>
      <c r="AP146" s="1062"/>
      <c r="AQ146" s="1062"/>
      <c r="AR146" s="1062"/>
      <c r="AS146" s="1062"/>
      <c r="AT146" s="1062"/>
      <c r="AU146" s="1062"/>
      <c r="AV146" s="1062"/>
      <c r="AW146" s="1062"/>
    </row>
    <row r="147" spans="2:49" x14ac:dyDescent="0.2">
      <c r="B147" s="1078"/>
      <c r="C147" s="1079"/>
      <c r="D147" s="1078"/>
      <c r="E147" s="1081"/>
      <c r="F147" s="1081"/>
      <c r="G147" s="1066"/>
      <c r="H147" s="1069"/>
      <c r="I147" s="1069"/>
      <c r="J147" s="1128" t="str">
        <f t="shared" si="6"/>
        <v/>
      </c>
      <c r="K147" s="1069"/>
      <c r="L147" s="1069"/>
      <c r="M147" s="1129" t="str">
        <f t="shared" si="7"/>
        <v/>
      </c>
      <c r="N147" s="1069"/>
      <c r="O147" s="1069"/>
      <c r="P147" s="1129" t="str">
        <f t="shared" si="8"/>
        <v/>
      </c>
      <c r="Q147" s="1069"/>
      <c r="R147" s="1069"/>
      <c r="S147" s="1129" t="str">
        <f t="shared" si="9"/>
        <v/>
      </c>
      <c r="T147" s="1068"/>
      <c r="U147" s="1069"/>
      <c r="V147" s="1267" t="str">
        <f t="shared" si="10"/>
        <v/>
      </c>
      <c r="W147" s="1062"/>
      <c r="X147" s="1062"/>
      <c r="Y147" s="1062"/>
      <c r="Z147" s="1062"/>
      <c r="AA147" s="1062"/>
      <c r="AB147" s="1062"/>
      <c r="AC147" s="1062"/>
      <c r="AD147" s="1062"/>
      <c r="AE147" s="1062"/>
      <c r="AF147" s="1062"/>
      <c r="AG147" s="1062"/>
      <c r="AH147" s="1062"/>
      <c r="AI147" s="1062"/>
      <c r="AJ147" s="1062"/>
      <c r="AK147" s="1062"/>
      <c r="AL147" s="1062"/>
      <c r="AM147" s="1062"/>
      <c r="AN147" s="1062"/>
      <c r="AO147" s="1062"/>
      <c r="AP147" s="1062"/>
      <c r="AQ147" s="1062"/>
      <c r="AR147" s="1062"/>
      <c r="AS147" s="1062"/>
      <c r="AT147" s="1062"/>
      <c r="AU147" s="1062"/>
      <c r="AV147" s="1062"/>
      <c r="AW147" s="1062"/>
    </row>
    <row r="148" spans="2:49" x14ac:dyDescent="0.2">
      <c r="B148" s="1078"/>
      <c r="C148" s="1079"/>
      <c r="D148" s="1078"/>
      <c r="E148" s="1081"/>
      <c r="F148" s="1081"/>
      <c r="G148" s="1066"/>
      <c r="H148" s="1069"/>
      <c r="I148" s="1069"/>
      <c r="J148" s="1128" t="str">
        <f t="shared" si="6"/>
        <v/>
      </c>
      <c r="K148" s="1069"/>
      <c r="L148" s="1069"/>
      <c r="M148" s="1129" t="str">
        <f t="shared" si="7"/>
        <v/>
      </c>
      <c r="N148" s="1069"/>
      <c r="O148" s="1069"/>
      <c r="P148" s="1129" t="str">
        <f t="shared" si="8"/>
        <v/>
      </c>
      <c r="Q148" s="1069"/>
      <c r="R148" s="1069"/>
      <c r="S148" s="1129" t="str">
        <f t="shared" si="9"/>
        <v/>
      </c>
      <c r="T148" s="1068"/>
      <c r="U148" s="1069"/>
      <c r="V148" s="1267" t="str">
        <f t="shared" si="10"/>
        <v/>
      </c>
      <c r="W148" s="1062"/>
      <c r="X148" s="1062"/>
      <c r="Y148" s="1062"/>
      <c r="Z148" s="1062"/>
      <c r="AA148" s="1062"/>
      <c r="AB148" s="1062"/>
      <c r="AC148" s="1062"/>
      <c r="AD148" s="1062"/>
      <c r="AE148" s="1062"/>
      <c r="AF148" s="1062"/>
      <c r="AG148" s="1062"/>
      <c r="AH148" s="1062"/>
      <c r="AI148" s="1062"/>
      <c r="AJ148" s="1062"/>
      <c r="AK148" s="1062"/>
      <c r="AL148" s="1062"/>
      <c r="AM148" s="1062"/>
      <c r="AN148" s="1062"/>
      <c r="AO148" s="1062"/>
      <c r="AP148" s="1062"/>
      <c r="AQ148" s="1062"/>
      <c r="AR148" s="1062"/>
      <c r="AS148" s="1062"/>
      <c r="AT148" s="1062"/>
      <c r="AU148" s="1062"/>
      <c r="AV148" s="1062"/>
      <c r="AW148" s="1062"/>
    </row>
    <row r="149" spans="2:49" x14ac:dyDescent="0.2">
      <c r="B149" s="1078"/>
      <c r="C149" s="1079"/>
      <c r="D149" s="1078"/>
      <c r="E149" s="1081"/>
      <c r="F149" s="1081"/>
      <c r="G149" s="1066"/>
      <c r="H149" s="1069"/>
      <c r="I149" s="1069"/>
      <c r="J149" s="1128" t="str">
        <f t="shared" si="6"/>
        <v/>
      </c>
      <c r="K149" s="1069"/>
      <c r="L149" s="1069"/>
      <c r="M149" s="1129" t="str">
        <f t="shared" si="7"/>
        <v/>
      </c>
      <c r="N149" s="1069"/>
      <c r="O149" s="1069"/>
      <c r="P149" s="1129" t="str">
        <f t="shared" si="8"/>
        <v/>
      </c>
      <c r="Q149" s="1069"/>
      <c r="R149" s="1069"/>
      <c r="S149" s="1129" t="str">
        <f t="shared" si="9"/>
        <v/>
      </c>
      <c r="T149" s="1068"/>
      <c r="U149" s="1069"/>
      <c r="V149" s="1267" t="str">
        <f t="shared" si="10"/>
        <v/>
      </c>
      <c r="W149" s="1062"/>
      <c r="X149" s="1062"/>
      <c r="Y149" s="1062"/>
      <c r="Z149" s="1062"/>
      <c r="AA149" s="1062"/>
      <c r="AB149" s="1062"/>
      <c r="AC149" s="1062"/>
      <c r="AD149" s="1062"/>
      <c r="AE149" s="1062"/>
      <c r="AF149" s="1062"/>
      <c r="AG149" s="1062"/>
      <c r="AH149" s="1062"/>
      <c r="AI149" s="1062"/>
      <c r="AJ149" s="1062"/>
      <c r="AK149" s="1062"/>
      <c r="AL149" s="1062"/>
      <c r="AM149" s="1062"/>
      <c r="AN149" s="1062"/>
      <c r="AO149" s="1062"/>
      <c r="AP149" s="1062"/>
      <c r="AQ149" s="1062"/>
      <c r="AR149" s="1062"/>
      <c r="AS149" s="1062"/>
      <c r="AT149" s="1062"/>
      <c r="AU149" s="1062"/>
      <c r="AV149" s="1062"/>
      <c r="AW149" s="1062"/>
    </row>
    <row r="150" spans="2:49" x14ac:dyDescent="0.2">
      <c r="B150" s="1078"/>
      <c r="C150" s="1079"/>
      <c r="D150" s="1078"/>
      <c r="E150" s="1081"/>
      <c r="F150" s="1081"/>
      <c r="G150" s="1066"/>
      <c r="H150" s="1069"/>
      <c r="I150" s="1069"/>
      <c r="J150" s="1128" t="str">
        <f t="shared" si="6"/>
        <v/>
      </c>
      <c r="K150" s="1069"/>
      <c r="L150" s="1069"/>
      <c r="M150" s="1129" t="str">
        <f t="shared" si="7"/>
        <v/>
      </c>
      <c r="N150" s="1069"/>
      <c r="O150" s="1069"/>
      <c r="P150" s="1129" t="str">
        <f t="shared" si="8"/>
        <v/>
      </c>
      <c r="Q150" s="1069"/>
      <c r="R150" s="1069"/>
      <c r="S150" s="1129" t="str">
        <f t="shared" si="9"/>
        <v/>
      </c>
      <c r="T150" s="1068"/>
      <c r="U150" s="1069"/>
      <c r="V150" s="1267" t="str">
        <f t="shared" si="10"/>
        <v/>
      </c>
      <c r="W150" s="1062"/>
      <c r="X150" s="1062"/>
      <c r="Y150" s="1062"/>
      <c r="Z150" s="1062"/>
      <c r="AA150" s="1062"/>
      <c r="AB150" s="1062"/>
      <c r="AC150" s="1062"/>
      <c r="AD150" s="1062"/>
      <c r="AE150" s="1062"/>
      <c r="AF150" s="1062"/>
      <c r="AG150" s="1062"/>
      <c r="AH150" s="1062"/>
      <c r="AI150" s="1062"/>
      <c r="AJ150" s="1062"/>
      <c r="AK150" s="1062"/>
      <c r="AL150" s="1062"/>
      <c r="AM150" s="1062"/>
      <c r="AN150" s="1062"/>
      <c r="AO150" s="1062"/>
      <c r="AP150" s="1062"/>
      <c r="AQ150" s="1062"/>
      <c r="AR150" s="1062"/>
      <c r="AS150" s="1062"/>
      <c r="AT150" s="1062"/>
      <c r="AU150" s="1062"/>
      <c r="AV150" s="1062"/>
      <c r="AW150" s="1062"/>
    </row>
    <row r="151" spans="2:49" x14ac:dyDescent="0.2">
      <c r="B151" s="1078"/>
      <c r="C151" s="1079"/>
      <c r="D151" s="1078"/>
      <c r="E151" s="1081"/>
      <c r="F151" s="1081"/>
      <c r="G151" s="1066"/>
      <c r="H151" s="1069"/>
      <c r="I151" s="1069"/>
      <c r="J151" s="1128" t="str">
        <f t="shared" si="6"/>
        <v/>
      </c>
      <c r="K151" s="1069"/>
      <c r="L151" s="1069"/>
      <c r="M151" s="1129" t="str">
        <f t="shared" si="7"/>
        <v/>
      </c>
      <c r="N151" s="1069"/>
      <c r="O151" s="1069"/>
      <c r="P151" s="1129" t="str">
        <f t="shared" si="8"/>
        <v/>
      </c>
      <c r="Q151" s="1069"/>
      <c r="R151" s="1069"/>
      <c r="S151" s="1129" t="str">
        <f t="shared" si="9"/>
        <v/>
      </c>
      <c r="T151" s="1068"/>
      <c r="U151" s="1069"/>
      <c r="V151" s="1267" t="str">
        <f t="shared" si="10"/>
        <v/>
      </c>
      <c r="W151" s="1062"/>
      <c r="X151" s="1062"/>
      <c r="Y151" s="1062"/>
      <c r="Z151" s="1062"/>
      <c r="AA151" s="1062"/>
      <c r="AB151" s="1062"/>
      <c r="AC151" s="1062"/>
      <c r="AD151" s="1062"/>
      <c r="AE151" s="1062"/>
      <c r="AF151" s="1062"/>
      <c r="AG151" s="1062"/>
      <c r="AH151" s="1062"/>
      <c r="AI151" s="1062"/>
      <c r="AJ151" s="1062"/>
      <c r="AK151" s="1062"/>
      <c r="AL151" s="1062"/>
      <c r="AM151" s="1062"/>
      <c r="AN151" s="1062"/>
      <c r="AO151" s="1062"/>
      <c r="AP151" s="1062"/>
      <c r="AQ151" s="1062"/>
      <c r="AR151" s="1062"/>
      <c r="AS151" s="1062"/>
      <c r="AT151" s="1062"/>
      <c r="AU151" s="1062"/>
      <c r="AV151" s="1062"/>
      <c r="AW151" s="1062"/>
    </row>
    <row r="152" spans="2:49" x14ac:dyDescent="0.2">
      <c r="B152" s="1078"/>
      <c r="C152" s="1079"/>
      <c r="D152" s="1078"/>
      <c r="E152" s="1081"/>
      <c r="F152" s="1081"/>
      <c r="G152" s="1066"/>
      <c r="H152" s="1069"/>
      <c r="I152" s="1069"/>
      <c r="J152" s="1128" t="str">
        <f t="shared" si="6"/>
        <v/>
      </c>
      <c r="K152" s="1069"/>
      <c r="L152" s="1069"/>
      <c r="M152" s="1129" t="str">
        <f t="shared" si="7"/>
        <v/>
      </c>
      <c r="N152" s="1069"/>
      <c r="O152" s="1069"/>
      <c r="P152" s="1129" t="str">
        <f t="shared" si="8"/>
        <v/>
      </c>
      <c r="Q152" s="1069"/>
      <c r="R152" s="1069"/>
      <c r="S152" s="1129" t="str">
        <f t="shared" si="9"/>
        <v/>
      </c>
      <c r="T152" s="1068"/>
      <c r="U152" s="1069"/>
      <c r="V152" s="1267" t="str">
        <f t="shared" si="10"/>
        <v/>
      </c>
      <c r="W152" s="1062"/>
      <c r="X152" s="1062"/>
      <c r="Y152" s="1062"/>
      <c r="Z152" s="1062"/>
      <c r="AA152" s="1062"/>
      <c r="AB152" s="1062"/>
      <c r="AC152" s="1062"/>
      <c r="AD152" s="1062"/>
      <c r="AE152" s="1062"/>
      <c r="AF152" s="1062"/>
      <c r="AG152" s="1062"/>
      <c r="AH152" s="1062"/>
      <c r="AI152" s="1062"/>
      <c r="AJ152" s="1062"/>
      <c r="AK152" s="1062"/>
      <c r="AL152" s="1062"/>
      <c r="AM152" s="1062"/>
      <c r="AN152" s="1062"/>
      <c r="AO152" s="1062"/>
      <c r="AP152" s="1062"/>
      <c r="AQ152" s="1062"/>
      <c r="AR152" s="1062"/>
      <c r="AS152" s="1062"/>
      <c r="AT152" s="1062"/>
      <c r="AU152" s="1062"/>
      <c r="AV152" s="1062"/>
      <c r="AW152" s="1062"/>
    </row>
    <row r="153" spans="2:49" x14ac:dyDescent="0.2">
      <c r="B153" s="1078"/>
      <c r="C153" s="1079"/>
      <c r="D153" s="1078"/>
      <c r="E153" s="1081"/>
      <c r="F153" s="1081"/>
      <c r="G153" s="1066"/>
      <c r="H153" s="1069"/>
      <c r="I153" s="1069"/>
      <c r="J153" s="1128" t="str">
        <f t="shared" si="6"/>
        <v/>
      </c>
      <c r="K153" s="1069"/>
      <c r="L153" s="1069"/>
      <c r="M153" s="1129" t="str">
        <f t="shared" si="7"/>
        <v/>
      </c>
      <c r="N153" s="1069"/>
      <c r="O153" s="1069"/>
      <c r="P153" s="1129" t="str">
        <f t="shared" si="8"/>
        <v/>
      </c>
      <c r="Q153" s="1069"/>
      <c r="R153" s="1069"/>
      <c r="S153" s="1129" t="str">
        <f t="shared" si="9"/>
        <v/>
      </c>
      <c r="T153" s="1068"/>
      <c r="U153" s="1069"/>
      <c r="V153" s="1267" t="str">
        <f t="shared" si="10"/>
        <v/>
      </c>
      <c r="W153" s="1062"/>
      <c r="X153" s="1062"/>
      <c r="Y153" s="1062"/>
      <c r="Z153" s="1062"/>
      <c r="AA153" s="1062"/>
      <c r="AB153" s="1062"/>
      <c r="AC153" s="1062"/>
      <c r="AD153" s="1062"/>
      <c r="AE153" s="1062"/>
      <c r="AF153" s="1062"/>
      <c r="AG153" s="1062"/>
      <c r="AH153" s="1062"/>
      <c r="AI153" s="1062"/>
      <c r="AJ153" s="1062"/>
      <c r="AK153" s="1062"/>
      <c r="AL153" s="1062"/>
      <c r="AM153" s="1062"/>
      <c r="AN153" s="1062"/>
      <c r="AO153" s="1062"/>
      <c r="AP153" s="1062"/>
      <c r="AQ153" s="1062"/>
      <c r="AR153" s="1062"/>
      <c r="AS153" s="1062"/>
      <c r="AT153" s="1062"/>
      <c r="AU153" s="1062"/>
      <c r="AV153" s="1062"/>
      <c r="AW153" s="1062"/>
    </row>
    <row r="154" spans="2:49" x14ac:dyDescent="0.2">
      <c r="B154" s="1078"/>
      <c r="C154" s="1079"/>
      <c r="D154" s="1078"/>
      <c r="E154" s="1081"/>
      <c r="F154" s="1081"/>
      <c r="G154" s="1066"/>
      <c r="H154" s="1069"/>
      <c r="I154" s="1069"/>
      <c r="J154" s="1128" t="str">
        <f t="shared" ref="J154:J217" si="11">IF(AND(H154=0,I154=0),"",IF(I154&lt;&gt;0,IF(I154&gt;H154,"100",I154/H154*100),0))</f>
        <v/>
      </c>
      <c r="K154" s="1069"/>
      <c r="L154" s="1069"/>
      <c r="M154" s="1129" t="str">
        <f t="shared" ref="M154:M217" si="12">IF(AND(K154=0,L154=0),"",IF(L154&lt;&gt;0,IF(L154&gt;K154,"100",L154/K154*100),0))</f>
        <v/>
      </c>
      <c r="N154" s="1069"/>
      <c r="O154" s="1069"/>
      <c r="P154" s="1129" t="str">
        <f t="shared" ref="P154:P217" si="13">IF(AND(N154=0,O154=0),"",IF(O154&lt;&gt;0,IF(O154&gt;N154,"100",O154/N154*100),0))</f>
        <v/>
      </c>
      <c r="Q154" s="1069"/>
      <c r="R154" s="1069"/>
      <c r="S154" s="1129" t="str">
        <f t="shared" ref="S154:S217" si="14">IF(AND(Q154=0,R154=0),"",IF(R154&lt;&gt;0,IF(R154&gt;Q154,"100",R154/Q154*100),0))</f>
        <v/>
      </c>
      <c r="T154" s="1068"/>
      <c r="U154" s="1069"/>
      <c r="V154" s="1267" t="str">
        <f t="shared" ref="V154:V217" si="15">IF(AND(T154=0,U154=0),"",IF(U154&lt;&gt;0,IF(U154&gt;T154,"100",U154/T154*100),0))</f>
        <v/>
      </c>
      <c r="W154" s="1062"/>
      <c r="X154" s="1062"/>
      <c r="Y154" s="1062"/>
      <c r="Z154" s="1062"/>
      <c r="AA154" s="1062"/>
      <c r="AB154" s="1062"/>
      <c r="AC154" s="1062"/>
      <c r="AD154" s="1062"/>
      <c r="AE154" s="1062"/>
      <c r="AF154" s="1062"/>
      <c r="AG154" s="1062"/>
      <c r="AH154" s="1062"/>
      <c r="AI154" s="1062"/>
      <c r="AJ154" s="1062"/>
      <c r="AK154" s="1062"/>
      <c r="AL154" s="1062"/>
      <c r="AM154" s="1062"/>
      <c r="AN154" s="1062"/>
      <c r="AO154" s="1062"/>
      <c r="AP154" s="1062"/>
      <c r="AQ154" s="1062"/>
      <c r="AR154" s="1062"/>
      <c r="AS154" s="1062"/>
      <c r="AT154" s="1062"/>
      <c r="AU154" s="1062"/>
      <c r="AV154" s="1062"/>
      <c r="AW154" s="1062"/>
    </row>
    <row r="155" spans="2:49" x14ac:dyDescent="0.2">
      <c r="B155" s="1078"/>
      <c r="C155" s="1079"/>
      <c r="D155" s="1078"/>
      <c r="E155" s="1081"/>
      <c r="F155" s="1081"/>
      <c r="G155" s="1066"/>
      <c r="H155" s="1069"/>
      <c r="I155" s="1069"/>
      <c r="J155" s="1128" t="str">
        <f t="shared" si="11"/>
        <v/>
      </c>
      <c r="K155" s="1069"/>
      <c r="L155" s="1069"/>
      <c r="M155" s="1129" t="str">
        <f t="shared" si="12"/>
        <v/>
      </c>
      <c r="N155" s="1069"/>
      <c r="O155" s="1069"/>
      <c r="P155" s="1129" t="str">
        <f t="shared" si="13"/>
        <v/>
      </c>
      <c r="Q155" s="1069"/>
      <c r="R155" s="1069"/>
      <c r="S155" s="1129" t="str">
        <f t="shared" si="14"/>
        <v/>
      </c>
      <c r="T155" s="1068"/>
      <c r="U155" s="1069"/>
      <c r="V155" s="1267" t="str">
        <f t="shared" si="15"/>
        <v/>
      </c>
      <c r="W155" s="1062"/>
      <c r="X155" s="1062"/>
      <c r="Y155" s="1062"/>
      <c r="Z155" s="1062"/>
      <c r="AA155" s="1062"/>
      <c r="AB155" s="1062"/>
      <c r="AC155" s="1062"/>
      <c r="AD155" s="1062"/>
      <c r="AE155" s="1062"/>
      <c r="AF155" s="1062"/>
      <c r="AG155" s="1062"/>
      <c r="AH155" s="1062"/>
      <c r="AI155" s="1062"/>
      <c r="AJ155" s="1062"/>
      <c r="AK155" s="1062"/>
      <c r="AL155" s="1062"/>
      <c r="AM155" s="1062"/>
      <c r="AN155" s="1062"/>
      <c r="AO155" s="1062"/>
      <c r="AP155" s="1062"/>
      <c r="AQ155" s="1062"/>
      <c r="AR155" s="1062"/>
      <c r="AS155" s="1062"/>
      <c r="AT155" s="1062"/>
      <c r="AU155" s="1062"/>
      <c r="AV155" s="1062"/>
      <c r="AW155" s="1062"/>
    </row>
    <row r="156" spans="2:49" x14ac:dyDescent="0.2">
      <c r="B156" s="1078"/>
      <c r="C156" s="1079"/>
      <c r="D156" s="1078"/>
      <c r="E156" s="1081"/>
      <c r="F156" s="1081"/>
      <c r="G156" s="1066"/>
      <c r="H156" s="1069"/>
      <c r="I156" s="1069"/>
      <c r="J156" s="1128" t="str">
        <f t="shared" si="11"/>
        <v/>
      </c>
      <c r="K156" s="1069"/>
      <c r="L156" s="1069"/>
      <c r="M156" s="1129" t="str">
        <f t="shared" si="12"/>
        <v/>
      </c>
      <c r="N156" s="1069"/>
      <c r="O156" s="1069"/>
      <c r="P156" s="1129" t="str">
        <f t="shared" si="13"/>
        <v/>
      </c>
      <c r="Q156" s="1069"/>
      <c r="R156" s="1069"/>
      <c r="S156" s="1129" t="str">
        <f t="shared" si="14"/>
        <v/>
      </c>
      <c r="T156" s="1068"/>
      <c r="U156" s="1069"/>
      <c r="V156" s="1267" t="str">
        <f t="shared" si="15"/>
        <v/>
      </c>
      <c r="W156" s="1062"/>
      <c r="X156" s="1062"/>
      <c r="Y156" s="1062"/>
      <c r="Z156" s="1062"/>
      <c r="AA156" s="1062"/>
      <c r="AB156" s="1062"/>
      <c r="AC156" s="1062"/>
      <c r="AD156" s="1062"/>
      <c r="AE156" s="1062"/>
      <c r="AF156" s="1062"/>
      <c r="AG156" s="1062"/>
      <c r="AH156" s="1062"/>
      <c r="AI156" s="1062"/>
      <c r="AJ156" s="1062"/>
      <c r="AK156" s="1062"/>
      <c r="AL156" s="1062"/>
      <c r="AM156" s="1062"/>
      <c r="AN156" s="1062"/>
      <c r="AO156" s="1062"/>
      <c r="AP156" s="1062"/>
      <c r="AQ156" s="1062"/>
      <c r="AR156" s="1062"/>
      <c r="AS156" s="1062"/>
      <c r="AT156" s="1062"/>
      <c r="AU156" s="1062"/>
      <c r="AV156" s="1062"/>
      <c r="AW156" s="1062"/>
    </row>
    <row r="157" spans="2:49" x14ac:dyDescent="0.2">
      <c r="B157" s="1078"/>
      <c r="C157" s="1079"/>
      <c r="D157" s="1078"/>
      <c r="E157" s="1081"/>
      <c r="F157" s="1081"/>
      <c r="G157" s="1066"/>
      <c r="H157" s="1069"/>
      <c r="I157" s="1069"/>
      <c r="J157" s="1128" t="str">
        <f t="shared" si="11"/>
        <v/>
      </c>
      <c r="K157" s="1069"/>
      <c r="L157" s="1069"/>
      <c r="M157" s="1129" t="str">
        <f t="shared" si="12"/>
        <v/>
      </c>
      <c r="N157" s="1069"/>
      <c r="O157" s="1069"/>
      <c r="P157" s="1129" t="str">
        <f t="shared" si="13"/>
        <v/>
      </c>
      <c r="Q157" s="1069"/>
      <c r="R157" s="1069"/>
      <c r="S157" s="1129" t="str">
        <f t="shared" si="14"/>
        <v/>
      </c>
      <c r="T157" s="1068"/>
      <c r="U157" s="1069"/>
      <c r="V157" s="1267" t="str">
        <f t="shared" si="15"/>
        <v/>
      </c>
      <c r="W157" s="1062"/>
      <c r="X157" s="1062"/>
      <c r="Y157" s="1062"/>
      <c r="Z157" s="1062"/>
      <c r="AA157" s="1062"/>
      <c r="AB157" s="1062"/>
      <c r="AC157" s="1062"/>
      <c r="AD157" s="1062"/>
      <c r="AE157" s="1062"/>
      <c r="AF157" s="1062"/>
      <c r="AG157" s="1062"/>
      <c r="AH157" s="1062"/>
      <c r="AI157" s="1062"/>
      <c r="AJ157" s="1062"/>
      <c r="AK157" s="1062"/>
      <c r="AL157" s="1062"/>
      <c r="AM157" s="1062"/>
      <c r="AN157" s="1062"/>
      <c r="AO157" s="1062"/>
      <c r="AP157" s="1062"/>
      <c r="AQ157" s="1062"/>
      <c r="AR157" s="1062"/>
      <c r="AS157" s="1062"/>
      <c r="AT157" s="1062"/>
      <c r="AU157" s="1062"/>
      <c r="AV157" s="1062"/>
      <c r="AW157" s="1062"/>
    </row>
    <row r="158" spans="2:49" x14ac:dyDescent="0.2">
      <c r="B158" s="1078"/>
      <c r="C158" s="1079"/>
      <c r="D158" s="1078"/>
      <c r="E158" s="1081"/>
      <c r="F158" s="1081"/>
      <c r="G158" s="1066"/>
      <c r="H158" s="1069"/>
      <c r="I158" s="1069"/>
      <c r="J158" s="1128" t="str">
        <f t="shared" si="11"/>
        <v/>
      </c>
      <c r="K158" s="1069"/>
      <c r="L158" s="1069"/>
      <c r="M158" s="1129" t="str">
        <f t="shared" si="12"/>
        <v/>
      </c>
      <c r="N158" s="1069"/>
      <c r="O158" s="1069"/>
      <c r="P158" s="1129" t="str">
        <f t="shared" si="13"/>
        <v/>
      </c>
      <c r="Q158" s="1069"/>
      <c r="R158" s="1069"/>
      <c r="S158" s="1129" t="str">
        <f t="shared" si="14"/>
        <v/>
      </c>
      <c r="T158" s="1068"/>
      <c r="U158" s="1069"/>
      <c r="V158" s="1267" t="str">
        <f t="shared" si="15"/>
        <v/>
      </c>
      <c r="W158" s="1062"/>
      <c r="X158" s="1062"/>
      <c r="Y158" s="1062"/>
      <c r="Z158" s="1062"/>
      <c r="AA158" s="1062"/>
      <c r="AB158" s="1062"/>
      <c r="AC158" s="1062"/>
      <c r="AD158" s="1062"/>
      <c r="AE158" s="1062"/>
      <c r="AF158" s="1062"/>
      <c r="AG158" s="1062"/>
      <c r="AH158" s="1062"/>
      <c r="AI158" s="1062"/>
      <c r="AJ158" s="1062"/>
      <c r="AK158" s="1062"/>
      <c r="AL158" s="1062"/>
      <c r="AM158" s="1062"/>
      <c r="AN158" s="1062"/>
      <c r="AO158" s="1062"/>
      <c r="AP158" s="1062"/>
      <c r="AQ158" s="1062"/>
      <c r="AR158" s="1062"/>
      <c r="AS158" s="1062"/>
      <c r="AT158" s="1062"/>
      <c r="AU158" s="1062"/>
      <c r="AV158" s="1062"/>
      <c r="AW158" s="1062"/>
    </row>
    <row r="159" spans="2:49" x14ac:dyDescent="0.2">
      <c r="B159" s="1078"/>
      <c r="C159" s="1079"/>
      <c r="D159" s="1078"/>
      <c r="E159" s="1081"/>
      <c r="F159" s="1081"/>
      <c r="G159" s="1066"/>
      <c r="H159" s="1069"/>
      <c r="I159" s="1069"/>
      <c r="J159" s="1128" t="str">
        <f t="shared" si="11"/>
        <v/>
      </c>
      <c r="K159" s="1069"/>
      <c r="L159" s="1069"/>
      <c r="M159" s="1129" t="str">
        <f t="shared" si="12"/>
        <v/>
      </c>
      <c r="N159" s="1069"/>
      <c r="O159" s="1069"/>
      <c r="P159" s="1129" t="str">
        <f t="shared" si="13"/>
        <v/>
      </c>
      <c r="Q159" s="1069"/>
      <c r="R159" s="1069"/>
      <c r="S159" s="1129" t="str">
        <f t="shared" si="14"/>
        <v/>
      </c>
      <c r="T159" s="1068"/>
      <c r="U159" s="1069"/>
      <c r="V159" s="1267" t="str">
        <f t="shared" si="15"/>
        <v/>
      </c>
      <c r="W159" s="1062"/>
      <c r="X159" s="1062"/>
      <c r="Y159" s="1062"/>
      <c r="Z159" s="1062"/>
      <c r="AA159" s="1062"/>
      <c r="AB159" s="1062"/>
      <c r="AC159" s="1062"/>
      <c r="AD159" s="1062"/>
      <c r="AE159" s="1062"/>
      <c r="AF159" s="1062"/>
      <c r="AG159" s="1062"/>
      <c r="AH159" s="1062"/>
      <c r="AI159" s="1062"/>
      <c r="AJ159" s="1062"/>
      <c r="AK159" s="1062"/>
      <c r="AL159" s="1062"/>
      <c r="AM159" s="1062"/>
      <c r="AN159" s="1062"/>
      <c r="AO159" s="1062"/>
      <c r="AP159" s="1062"/>
      <c r="AQ159" s="1062"/>
      <c r="AR159" s="1062"/>
      <c r="AS159" s="1062"/>
      <c r="AT159" s="1062"/>
      <c r="AU159" s="1062"/>
      <c r="AV159" s="1062"/>
      <c r="AW159" s="1062"/>
    </row>
    <row r="160" spans="2:49" x14ac:dyDescent="0.2">
      <c r="B160" s="1078"/>
      <c r="C160" s="1079"/>
      <c r="D160" s="1078"/>
      <c r="E160" s="1081"/>
      <c r="F160" s="1081"/>
      <c r="G160" s="1066"/>
      <c r="H160" s="1069"/>
      <c r="I160" s="1069"/>
      <c r="J160" s="1128" t="str">
        <f t="shared" si="11"/>
        <v/>
      </c>
      <c r="K160" s="1069"/>
      <c r="L160" s="1069"/>
      <c r="M160" s="1129" t="str">
        <f t="shared" si="12"/>
        <v/>
      </c>
      <c r="N160" s="1069"/>
      <c r="O160" s="1069"/>
      <c r="P160" s="1129" t="str">
        <f t="shared" si="13"/>
        <v/>
      </c>
      <c r="Q160" s="1069"/>
      <c r="R160" s="1069"/>
      <c r="S160" s="1129" t="str">
        <f t="shared" si="14"/>
        <v/>
      </c>
      <c r="T160" s="1068"/>
      <c r="U160" s="1069"/>
      <c r="V160" s="1267" t="str">
        <f t="shared" si="15"/>
        <v/>
      </c>
      <c r="W160" s="1062"/>
      <c r="X160" s="1062"/>
      <c r="Y160" s="1062"/>
      <c r="Z160" s="1062"/>
      <c r="AA160" s="1062"/>
      <c r="AB160" s="1062"/>
      <c r="AC160" s="1062"/>
      <c r="AD160" s="1062"/>
      <c r="AE160" s="1062"/>
      <c r="AF160" s="1062"/>
      <c r="AG160" s="1062"/>
      <c r="AH160" s="1062"/>
      <c r="AI160" s="1062"/>
      <c r="AJ160" s="1062"/>
      <c r="AK160" s="1062"/>
      <c r="AL160" s="1062"/>
      <c r="AM160" s="1062"/>
      <c r="AN160" s="1062"/>
      <c r="AO160" s="1062"/>
      <c r="AP160" s="1062"/>
      <c r="AQ160" s="1062"/>
      <c r="AR160" s="1062"/>
      <c r="AS160" s="1062"/>
      <c r="AT160" s="1062"/>
      <c r="AU160" s="1062"/>
      <c r="AV160" s="1062"/>
      <c r="AW160" s="1062"/>
    </row>
    <row r="161" spans="2:49" x14ac:dyDescent="0.2">
      <c r="B161" s="1078"/>
      <c r="C161" s="1079"/>
      <c r="D161" s="1078"/>
      <c r="E161" s="1081"/>
      <c r="F161" s="1081"/>
      <c r="G161" s="1066"/>
      <c r="H161" s="1069"/>
      <c r="I161" s="1069"/>
      <c r="J161" s="1128" t="str">
        <f t="shared" si="11"/>
        <v/>
      </c>
      <c r="K161" s="1069"/>
      <c r="L161" s="1069"/>
      <c r="M161" s="1129" t="str">
        <f t="shared" si="12"/>
        <v/>
      </c>
      <c r="N161" s="1069"/>
      <c r="O161" s="1069"/>
      <c r="P161" s="1129" t="str">
        <f t="shared" si="13"/>
        <v/>
      </c>
      <c r="Q161" s="1069"/>
      <c r="R161" s="1069"/>
      <c r="S161" s="1129" t="str">
        <f t="shared" si="14"/>
        <v/>
      </c>
      <c r="T161" s="1068"/>
      <c r="U161" s="1069"/>
      <c r="V161" s="1267" t="str">
        <f t="shared" si="15"/>
        <v/>
      </c>
      <c r="W161" s="1062"/>
      <c r="X161" s="1062"/>
      <c r="Y161" s="1062"/>
      <c r="Z161" s="1062"/>
      <c r="AA161" s="1062"/>
      <c r="AB161" s="1062"/>
      <c r="AC161" s="1062"/>
      <c r="AD161" s="1062"/>
      <c r="AE161" s="1062"/>
      <c r="AF161" s="1062"/>
      <c r="AG161" s="1062"/>
      <c r="AH161" s="1062"/>
      <c r="AI161" s="1062"/>
      <c r="AJ161" s="1062"/>
      <c r="AK161" s="1062"/>
      <c r="AL161" s="1062"/>
      <c r="AM161" s="1062"/>
      <c r="AN161" s="1062"/>
      <c r="AO161" s="1062"/>
      <c r="AP161" s="1062"/>
      <c r="AQ161" s="1062"/>
      <c r="AR161" s="1062"/>
      <c r="AS161" s="1062"/>
      <c r="AT161" s="1062"/>
      <c r="AU161" s="1062"/>
      <c r="AV161" s="1062"/>
      <c r="AW161" s="1062"/>
    </row>
    <row r="162" spans="2:49" x14ac:dyDescent="0.2">
      <c r="B162" s="1078"/>
      <c r="C162" s="1079"/>
      <c r="D162" s="1078"/>
      <c r="E162" s="1081"/>
      <c r="F162" s="1081"/>
      <c r="G162" s="1066"/>
      <c r="H162" s="1069"/>
      <c r="I162" s="1069"/>
      <c r="J162" s="1128" t="str">
        <f t="shared" si="11"/>
        <v/>
      </c>
      <c r="K162" s="1069"/>
      <c r="L162" s="1069"/>
      <c r="M162" s="1129" t="str">
        <f t="shared" si="12"/>
        <v/>
      </c>
      <c r="N162" s="1069"/>
      <c r="O162" s="1069"/>
      <c r="P162" s="1129" t="str">
        <f t="shared" si="13"/>
        <v/>
      </c>
      <c r="Q162" s="1069"/>
      <c r="R162" s="1069"/>
      <c r="S162" s="1129" t="str">
        <f t="shared" si="14"/>
        <v/>
      </c>
      <c r="T162" s="1068"/>
      <c r="U162" s="1069"/>
      <c r="V162" s="1267" t="str">
        <f t="shared" si="15"/>
        <v/>
      </c>
      <c r="W162" s="1062"/>
      <c r="X162" s="1062"/>
      <c r="Y162" s="1062"/>
      <c r="Z162" s="1062"/>
      <c r="AA162" s="1062"/>
      <c r="AB162" s="1062"/>
      <c r="AC162" s="1062"/>
      <c r="AD162" s="1062"/>
      <c r="AE162" s="1062"/>
      <c r="AF162" s="1062"/>
      <c r="AG162" s="1062"/>
      <c r="AH162" s="1062"/>
      <c r="AI162" s="1062"/>
      <c r="AJ162" s="1062"/>
      <c r="AK162" s="1062"/>
      <c r="AL162" s="1062"/>
      <c r="AM162" s="1062"/>
      <c r="AN162" s="1062"/>
      <c r="AO162" s="1062"/>
      <c r="AP162" s="1062"/>
      <c r="AQ162" s="1062"/>
      <c r="AR162" s="1062"/>
      <c r="AS162" s="1062"/>
      <c r="AT162" s="1062"/>
      <c r="AU162" s="1062"/>
      <c r="AV162" s="1062"/>
      <c r="AW162" s="1062"/>
    </row>
    <row r="163" spans="2:49" x14ac:dyDescent="0.2">
      <c r="B163" s="1078"/>
      <c r="C163" s="1079"/>
      <c r="D163" s="1078"/>
      <c r="E163" s="1081"/>
      <c r="F163" s="1081"/>
      <c r="G163" s="1066"/>
      <c r="H163" s="1069"/>
      <c r="I163" s="1069"/>
      <c r="J163" s="1128" t="str">
        <f t="shared" si="11"/>
        <v/>
      </c>
      <c r="K163" s="1069"/>
      <c r="L163" s="1069"/>
      <c r="M163" s="1129" t="str">
        <f t="shared" si="12"/>
        <v/>
      </c>
      <c r="N163" s="1069"/>
      <c r="O163" s="1069"/>
      <c r="P163" s="1129" t="str">
        <f t="shared" si="13"/>
        <v/>
      </c>
      <c r="Q163" s="1069"/>
      <c r="R163" s="1069"/>
      <c r="S163" s="1129" t="str">
        <f t="shared" si="14"/>
        <v/>
      </c>
      <c r="T163" s="1068"/>
      <c r="U163" s="1069"/>
      <c r="V163" s="1267" t="str">
        <f t="shared" si="15"/>
        <v/>
      </c>
      <c r="W163" s="1062"/>
      <c r="X163" s="1062"/>
      <c r="Y163" s="1062"/>
      <c r="Z163" s="1062"/>
      <c r="AA163" s="1062"/>
      <c r="AB163" s="1062"/>
      <c r="AC163" s="1062"/>
      <c r="AD163" s="1062"/>
      <c r="AE163" s="1062"/>
      <c r="AF163" s="1062"/>
      <c r="AG163" s="1062"/>
      <c r="AH163" s="1062"/>
      <c r="AI163" s="1062"/>
      <c r="AJ163" s="1062"/>
      <c r="AK163" s="1062"/>
      <c r="AL163" s="1062"/>
      <c r="AM163" s="1062"/>
      <c r="AN163" s="1062"/>
      <c r="AO163" s="1062"/>
      <c r="AP163" s="1062"/>
      <c r="AQ163" s="1062"/>
      <c r="AR163" s="1062"/>
      <c r="AS163" s="1062"/>
      <c r="AT163" s="1062"/>
      <c r="AU163" s="1062"/>
      <c r="AV163" s="1062"/>
      <c r="AW163" s="1062"/>
    </row>
    <row r="164" spans="2:49" x14ac:dyDescent="0.2">
      <c r="B164" s="1078"/>
      <c r="C164" s="1079"/>
      <c r="D164" s="1078"/>
      <c r="E164" s="1081"/>
      <c r="F164" s="1081"/>
      <c r="G164" s="1066"/>
      <c r="H164" s="1069"/>
      <c r="I164" s="1069"/>
      <c r="J164" s="1128" t="str">
        <f t="shared" si="11"/>
        <v/>
      </c>
      <c r="K164" s="1069"/>
      <c r="L164" s="1069"/>
      <c r="M164" s="1129" t="str">
        <f t="shared" si="12"/>
        <v/>
      </c>
      <c r="N164" s="1069"/>
      <c r="O164" s="1069"/>
      <c r="P164" s="1129" t="str">
        <f t="shared" si="13"/>
        <v/>
      </c>
      <c r="Q164" s="1069"/>
      <c r="R164" s="1069"/>
      <c r="S164" s="1129" t="str">
        <f t="shared" si="14"/>
        <v/>
      </c>
      <c r="T164" s="1068"/>
      <c r="U164" s="1069"/>
      <c r="V164" s="1267" t="str">
        <f t="shared" si="15"/>
        <v/>
      </c>
      <c r="W164" s="1062"/>
      <c r="X164" s="1062"/>
      <c r="Y164" s="1062"/>
      <c r="Z164" s="1062"/>
      <c r="AA164" s="1062"/>
      <c r="AB164" s="1062"/>
      <c r="AC164" s="1062"/>
      <c r="AD164" s="1062"/>
      <c r="AE164" s="1062"/>
      <c r="AF164" s="1062"/>
      <c r="AG164" s="1062"/>
      <c r="AH164" s="1062"/>
      <c r="AI164" s="1062"/>
      <c r="AJ164" s="1062"/>
      <c r="AK164" s="1062"/>
      <c r="AL164" s="1062"/>
      <c r="AM164" s="1062"/>
      <c r="AN164" s="1062"/>
      <c r="AO164" s="1062"/>
      <c r="AP164" s="1062"/>
      <c r="AQ164" s="1062"/>
      <c r="AR164" s="1062"/>
      <c r="AS164" s="1062"/>
      <c r="AT164" s="1062"/>
      <c r="AU164" s="1062"/>
      <c r="AV164" s="1062"/>
      <c r="AW164" s="1062"/>
    </row>
    <row r="165" spans="2:49" x14ac:dyDescent="0.2">
      <c r="B165" s="1078"/>
      <c r="C165" s="1079"/>
      <c r="D165" s="1078"/>
      <c r="E165" s="1081"/>
      <c r="F165" s="1081"/>
      <c r="G165" s="1066"/>
      <c r="H165" s="1069"/>
      <c r="I165" s="1069"/>
      <c r="J165" s="1128" t="str">
        <f t="shared" si="11"/>
        <v/>
      </c>
      <c r="K165" s="1069"/>
      <c r="L165" s="1069"/>
      <c r="M165" s="1129" t="str">
        <f t="shared" si="12"/>
        <v/>
      </c>
      <c r="N165" s="1069"/>
      <c r="O165" s="1069"/>
      <c r="P165" s="1129" t="str">
        <f t="shared" si="13"/>
        <v/>
      </c>
      <c r="Q165" s="1069"/>
      <c r="R165" s="1069"/>
      <c r="S165" s="1129" t="str">
        <f t="shared" si="14"/>
        <v/>
      </c>
      <c r="T165" s="1068"/>
      <c r="U165" s="1069"/>
      <c r="V165" s="1267" t="str">
        <f t="shared" si="15"/>
        <v/>
      </c>
      <c r="W165" s="1062"/>
      <c r="X165" s="1062"/>
      <c r="Y165" s="1062"/>
      <c r="Z165" s="1062"/>
      <c r="AA165" s="1062"/>
      <c r="AB165" s="1062"/>
      <c r="AC165" s="1062"/>
      <c r="AD165" s="1062"/>
      <c r="AE165" s="1062"/>
      <c r="AF165" s="1062"/>
      <c r="AG165" s="1062"/>
      <c r="AH165" s="1062"/>
      <c r="AI165" s="1062"/>
      <c r="AJ165" s="1062"/>
      <c r="AK165" s="1062"/>
      <c r="AL165" s="1062"/>
      <c r="AM165" s="1062"/>
      <c r="AN165" s="1062"/>
      <c r="AO165" s="1062"/>
      <c r="AP165" s="1062"/>
      <c r="AQ165" s="1062"/>
      <c r="AR165" s="1062"/>
      <c r="AS165" s="1062"/>
      <c r="AT165" s="1062"/>
      <c r="AU165" s="1062"/>
      <c r="AV165" s="1062"/>
      <c r="AW165" s="1062"/>
    </row>
    <row r="166" spans="2:49" x14ac:dyDescent="0.2">
      <c r="B166" s="1078"/>
      <c r="C166" s="1079"/>
      <c r="D166" s="1078"/>
      <c r="E166" s="1081"/>
      <c r="F166" s="1081"/>
      <c r="G166" s="1066"/>
      <c r="H166" s="1069"/>
      <c r="I166" s="1069"/>
      <c r="J166" s="1128" t="str">
        <f t="shared" si="11"/>
        <v/>
      </c>
      <c r="K166" s="1069"/>
      <c r="L166" s="1069"/>
      <c r="M166" s="1129" t="str">
        <f t="shared" si="12"/>
        <v/>
      </c>
      <c r="N166" s="1069"/>
      <c r="O166" s="1069"/>
      <c r="P166" s="1129" t="str">
        <f t="shared" si="13"/>
        <v/>
      </c>
      <c r="Q166" s="1069"/>
      <c r="R166" s="1069"/>
      <c r="S166" s="1129" t="str">
        <f t="shared" si="14"/>
        <v/>
      </c>
      <c r="T166" s="1068"/>
      <c r="U166" s="1069"/>
      <c r="V166" s="1267" t="str">
        <f t="shared" si="15"/>
        <v/>
      </c>
      <c r="W166" s="1062"/>
      <c r="X166" s="1062"/>
      <c r="Y166" s="1062"/>
      <c r="Z166" s="1062"/>
      <c r="AA166" s="1062"/>
      <c r="AB166" s="1062"/>
      <c r="AC166" s="1062"/>
      <c r="AD166" s="1062"/>
      <c r="AE166" s="1062"/>
      <c r="AF166" s="1062"/>
      <c r="AG166" s="1062"/>
      <c r="AH166" s="1062"/>
      <c r="AI166" s="1062"/>
      <c r="AJ166" s="1062"/>
      <c r="AK166" s="1062"/>
      <c r="AL166" s="1062"/>
      <c r="AM166" s="1062"/>
      <c r="AN166" s="1062"/>
      <c r="AO166" s="1062"/>
      <c r="AP166" s="1062"/>
      <c r="AQ166" s="1062"/>
      <c r="AR166" s="1062"/>
      <c r="AS166" s="1062"/>
      <c r="AT166" s="1062"/>
      <c r="AU166" s="1062"/>
      <c r="AV166" s="1062"/>
      <c r="AW166" s="1062"/>
    </row>
    <row r="167" spans="2:49" x14ac:dyDescent="0.2">
      <c r="B167" s="1078"/>
      <c r="C167" s="1079"/>
      <c r="D167" s="1078"/>
      <c r="E167" s="1081"/>
      <c r="F167" s="1081"/>
      <c r="G167" s="1066"/>
      <c r="H167" s="1069"/>
      <c r="I167" s="1069"/>
      <c r="J167" s="1128" t="str">
        <f t="shared" si="11"/>
        <v/>
      </c>
      <c r="K167" s="1069"/>
      <c r="L167" s="1069"/>
      <c r="M167" s="1129" t="str">
        <f t="shared" si="12"/>
        <v/>
      </c>
      <c r="N167" s="1069"/>
      <c r="O167" s="1069"/>
      <c r="P167" s="1129" t="str">
        <f t="shared" si="13"/>
        <v/>
      </c>
      <c r="Q167" s="1069"/>
      <c r="R167" s="1069"/>
      <c r="S167" s="1129" t="str">
        <f t="shared" si="14"/>
        <v/>
      </c>
      <c r="T167" s="1068"/>
      <c r="U167" s="1069"/>
      <c r="V167" s="1267" t="str">
        <f t="shared" si="15"/>
        <v/>
      </c>
      <c r="W167" s="1062"/>
      <c r="X167" s="1062"/>
      <c r="Y167" s="1062"/>
      <c r="Z167" s="1062"/>
      <c r="AA167" s="1062"/>
      <c r="AB167" s="1062"/>
      <c r="AC167" s="1062"/>
      <c r="AD167" s="1062"/>
      <c r="AE167" s="1062"/>
      <c r="AF167" s="1062"/>
      <c r="AG167" s="1062"/>
      <c r="AH167" s="1062"/>
      <c r="AI167" s="1062"/>
      <c r="AJ167" s="1062"/>
      <c r="AK167" s="1062"/>
      <c r="AL167" s="1062"/>
      <c r="AM167" s="1062"/>
      <c r="AN167" s="1062"/>
      <c r="AO167" s="1062"/>
      <c r="AP167" s="1062"/>
      <c r="AQ167" s="1062"/>
      <c r="AR167" s="1062"/>
      <c r="AS167" s="1062"/>
      <c r="AT167" s="1062"/>
      <c r="AU167" s="1062"/>
      <c r="AV167" s="1062"/>
      <c r="AW167" s="1062"/>
    </row>
    <row r="168" spans="2:49" x14ac:dyDescent="0.2">
      <c r="B168" s="1078"/>
      <c r="C168" s="1079"/>
      <c r="D168" s="1078"/>
      <c r="E168" s="1081"/>
      <c r="F168" s="1081"/>
      <c r="G168" s="1066"/>
      <c r="H168" s="1069"/>
      <c r="I168" s="1069"/>
      <c r="J168" s="1128" t="str">
        <f t="shared" si="11"/>
        <v/>
      </c>
      <c r="K168" s="1069"/>
      <c r="L168" s="1069"/>
      <c r="M168" s="1129" t="str">
        <f t="shared" si="12"/>
        <v/>
      </c>
      <c r="N168" s="1069"/>
      <c r="O168" s="1069"/>
      <c r="P168" s="1129" t="str">
        <f t="shared" si="13"/>
        <v/>
      </c>
      <c r="Q168" s="1069"/>
      <c r="R168" s="1069"/>
      <c r="S168" s="1129" t="str">
        <f t="shared" si="14"/>
        <v/>
      </c>
      <c r="T168" s="1068"/>
      <c r="U168" s="1069"/>
      <c r="V168" s="1267" t="str">
        <f t="shared" si="15"/>
        <v/>
      </c>
      <c r="W168" s="1062"/>
      <c r="X168" s="1062"/>
      <c r="Y168" s="1062"/>
      <c r="Z168" s="1062"/>
      <c r="AA168" s="1062"/>
      <c r="AB168" s="1062"/>
      <c r="AC168" s="1062"/>
      <c r="AD168" s="1062"/>
      <c r="AE168" s="1062"/>
      <c r="AF168" s="1062"/>
      <c r="AG168" s="1062"/>
      <c r="AH168" s="1062"/>
      <c r="AI168" s="1062"/>
      <c r="AJ168" s="1062"/>
      <c r="AK168" s="1062"/>
      <c r="AL168" s="1062"/>
      <c r="AM168" s="1062"/>
      <c r="AN168" s="1062"/>
      <c r="AO168" s="1062"/>
      <c r="AP168" s="1062"/>
      <c r="AQ168" s="1062"/>
      <c r="AR168" s="1062"/>
      <c r="AS168" s="1062"/>
      <c r="AT168" s="1062"/>
      <c r="AU168" s="1062"/>
      <c r="AV168" s="1062"/>
      <c r="AW168" s="1062"/>
    </row>
    <row r="169" spans="2:49" x14ac:dyDescent="0.2">
      <c r="B169" s="1078"/>
      <c r="C169" s="1079"/>
      <c r="D169" s="1078"/>
      <c r="E169" s="1081"/>
      <c r="F169" s="1081"/>
      <c r="G169" s="1066"/>
      <c r="H169" s="1069"/>
      <c r="I169" s="1069"/>
      <c r="J169" s="1128" t="str">
        <f t="shared" si="11"/>
        <v/>
      </c>
      <c r="K169" s="1069"/>
      <c r="L169" s="1069"/>
      <c r="M169" s="1129" t="str">
        <f t="shared" si="12"/>
        <v/>
      </c>
      <c r="N169" s="1069"/>
      <c r="O169" s="1069"/>
      <c r="P169" s="1129" t="str">
        <f t="shared" si="13"/>
        <v/>
      </c>
      <c r="Q169" s="1069"/>
      <c r="R169" s="1069"/>
      <c r="S169" s="1129" t="str">
        <f t="shared" si="14"/>
        <v/>
      </c>
      <c r="T169" s="1068"/>
      <c r="U169" s="1069"/>
      <c r="V169" s="1267" t="str">
        <f t="shared" si="15"/>
        <v/>
      </c>
      <c r="W169" s="1062"/>
      <c r="X169" s="1062"/>
      <c r="Y169" s="1062"/>
      <c r="Z169" s="1062"/>
      <c r="AA169" s="1062"/>
      <c r="AB169" s="1062"/>
      <c r="AC169" s="1062"/>
      <c r="AD169" s="1062"/>
      <c r="AE169" s="1062"/>
      <c r="AF169" s="1062"/>
      <c r="AG169" s="1062"/>
      <c r="AH169" s="1062"/>
      <c r="AI169" s="1062"/>
      <c r="AJ169" s="1062"/>
      <c r="AK169" s="1062"/>
      <c r="AL169" s="1062"/>
      <c r="AM169" s="1062"/>
      <c r="AN169" s="1062"/>
      <c r="AO169" s="1062"/>
      <c r="AP169" s="1062"/>
      <c r="AQ169" s="1062"/>
      <c r="AR169" s="1062"/>
      <c r="AS169" s="1062"/>
      <c r="AT169" s="1062"/>
      <c r="AU169" s="1062"/>
      <c r="AV169" s="1062"/>
      <c r="AW169" s="1062"/>
    </row>
    <row r="170" spans="2:49" x14ac:dyDescent="0.2">
      <c r="B170" s="1078"/>
      <c r="C170" s="1079"/>
      <c r="D170" s="1078"/>
      <c r="E170" s="1081"/>
      <c r="F170" s="1081"/>
      <c r="G170" s="1066"/>
      <c r="H170" s="1069"/>
      <c r="I170" s="1069"/>
      <c r="J170" s="1128" t="str">
        <f t="shared" si="11"/>
        <v/>
      </c>
      <c r="K170" s="1069"/>
      <c r="L170" s="1069"/>
      <c r="M170" s="1129" t="str">
        <f t="shared" si="12"/>
        <v/>
      </c>
      <c r="N170" s="1069"/>
      <c r="O170" s="1069"/>
      <c r="P170" s="1129" t="str">
        <f t="shared" si="13"/>
        <v/>
      </c>
      <c r="Q170" s="1069"/>
      <c r="R170" s="1069"/>
      <c r="S170" s="1129" t="str">
        <f t="shared" si="14"/>
        <v/>
      </c>
      <c r="T170" s="1068"/>
      <c r="U170" s="1069"/>
      <c r="V170" s="1267" t="str">
        <f t="shared" si="15"/>
        <v/>
      </c>
      <c r="W170" s="1062"/>
      <c r="X170" s="1062"/>
      <c r="Y170" s="1062"/>
      <c r="Z170" s="1062"/>
      <c r="AA170" s="1062"/>
      <c r="AB170" s="1062"/>
      <c r="AC170" s="1062"/>
      <c r="AD170" s="1062"/>
      <c r="AE170" s="1062"/>
      <c r="AF170" s="1062"/>
      <c r="AG170" s="1062"/>
      <c r="AH170" s="1062"/>
      <c r="AI170" s="1062"/>
      <c r="AJ170" s="1062"/>
      <c r="AK170" s="1062"/>
      <c r="AL170" s="1062"/>
      <c r="AM170" s="1062"/>
      <c r="AN170" s="1062"/>
      <c r="AO170" s="1062"/>
      <c r="AP170" s="1062"/>
      <c r="AQ170" s="1062"/>
      <c r="AR170" s="1062"/>
      <c r="AS170" s="1062"/>
      <c r="AT170" s="1062"/>
      <c r="AU170" s="1062"/>
      <c r="AV170" s="1062"/>
      <c r="AW170" s="1062"/>
    </row>
    <row r="171" spans="2:49" x14ac:dyDescent="0.2">
      <c r="B171" s="1078"/>
      <c r="C171" s="1079"/>
      <c r="D171" s="1078"/>
      <c r="E171" s="1081"/>
      <c r="F171" s="1081"/>
      <c r="G171" s="1066"/>
      <c r="H171" s="1069"/>
      <c r="I171" s="1069"/>
      <c r="J171" s="1128" t="str">
        <f t="shared" si="11"/>
        <v/>
      </c>
      <c r="K171" s="1069"/>
      <c r="L171" s="1069"/>
      <c r="M171" s="1129" t="str">
        <f t="shared" si="12"/>
        <v/>
      </c>
      <c r="N171" s="1069"/>
      <c r="O171" s="1069"/>
      <c r="P171" s="1129" t="str">
        <f t="shared" si="13"/>
        <v/>
      </c>
      <c r="Q171" s="1069"/>
      <c r="R171" s="1069"/>
      <c r="S171" s="1129" t="str">
        <f t="shared" si="14"/>
        <v/>
      </c>
      <c r="T171" s="1068"/>
      <c r="U171" s="1069"/>
      <c r="V171" s="1267" t="str">
        <f t="shared" si="15"/>
        <v/>
      </c>
      <c r="W171" s="1062"/>
      <c r="X171" s="1062"/>
      <c r="Y171" s="1062"/>
      <c r="Z171" s="1062"/>
      <c r="AA171" s="1062"/>
      <c r="AB171" s="1062"/>
      <c r="AC171" s="1062"/>
      <c r="AD171" s="1062"/>
      <c r="AE171" s="1062"/>
      <c r="AF171" s="1062"/>
      <c r="AG171" s="1062"/>
      <c r="AH171" s="1062"/>
      <c r="AI171" s="1062"/>
      <c r="AJ171" s="1062"/>
      <c r="AK171" s="1062"/>
      <c r="AL171" s="1062"/>
      <c r="AM171" s="1062"/>
      <c r="AN171" s="1062"/>
      <c r="AO171" s="1062"/>
      <c r="AP171" s="1062"/>
      <c r="AQ171" s="1062"/>
      <c r="AR171" s="1062"/>
      <c r="AS171" s="1062"/>
      <c r="AT171" s="1062"/>
      <c r="AU171" s="1062"/>
      <c r="AV171" s="1062"/>
      <c r="AW171" s="1062"/>
    </row>
    <row r="172" spans="2:49" x14ac:dyDescent="0.2">
      <c r="B172" s="1078"/>
      <c r="C172" s="1079"/>
      <c r="D172" s="1078"/>
      <c r="E172" s="1081"/>
      <c r="F172" s="1081"/>
      <c r="G172" s="1066"/>
      <c r="H172" s="1069"/>
      <c r="I172" s="1069"/>
      <c r="J172" s="1128" t="str">
        <f t="shared" si="11"/>
        <v/>
      </c>
      <c r="K172" s="1069"/>
      <c r="L172" s="1069"/>
      <c r="M172" s="1129" t="str">
        <f t="shared" si="12"/>
        <v/>
      </c>
      <c r="N172" s="1069"/>
      <c r="O172" s="1069"/>
      <c r="P172" s="1129" t="str">
        <f t="shared" si="13"/>
        <v/>
      </c>
      <c r="Q172" s="1069"/>
      <c r="R172" s="1069"/>
      <c r="S172" s="1129" t="str">
        <f t="shared" si="14"/>
        <v/>
      </c>
      <c r="T172" s="1068"/>
      <c r="U172" s="1069"/>
      <c r="V172" s="1267" t="str">
        <f t="shared" si="15"/>
        <v/>
      </c>
      <c r="W172" s="1062"/>
      <c r="X172" s="1062"/>
      <c r="Y172" s="1062"/>
      <c r="Z172" s="1062"/>
      <c r="AA172" s="1062"/>
      <c r="AB172" s="1062"/>
      <c r="AC172" s="1062"/>
      <c r="AD172" s="1062"/>
      <c r="AE172" s="1062"/>
      <c r="AF172" s="1062"/>
      <c r="AG172" s="1062"/>
      <c r="AH172" s="1062"/>
      <c r="AI172" s="1062"/>
      <c r="AJ172" s="1062"/>
      <c r="AK172" s="1062"/>
      <c r="AL172" s="1062"/>
      <c r="AM172" s="1062"/>
      <c r="AN172" s="1062"/>
      <c r="AO172" s="1062"/>
      <c r="AP172" s="1062"/>
      <c r="AQ172" s="1062"/>
      <c r="AR172" s="1062"/>
      <c r="AS172" s="1062"/>
      <c r="AT172" s="1062"/>
      <c r="AU172" s="1062"/>
      <c r="AV172" s="1062"/>
      <c r="AW172" s="1062"/>
    </row>
    <row r="173" spans="2:49" x14ac:dyDescent="0.2">
      <c r="B173" s="1078"/>
      <c r="C173" s="1079"/>
      <c r="D173" s="1078"/>
      <c r="E173" s="1081"/>
      <c r="F173" s="1081"/>
      <c r="G173" s="1066"/>
      <c r="H173" s="1069"/>
      <c r="I173" s="1069"/>
      <c r="J173" s="1128" t="str">
        <f t="shared" si="11"/>
        <v/>
      </c>
      <c r="K173" s="1069"/>
      <c r="L173" s="1069"/>
      <c r="M173" s="1129" t="str">
        <f t="shared" si="12"/>
        <v/>
      </c>
      <c r="N173" s="1069"/>
      <c r="O173" s="1069"/>
      <c r="P173" s="1129" t="str">
        <f t="shared" si="13"/>
        <v/>
      </c>
      <c r="Q173" s="1069"/>
      <c r="R173" s="1069"/>
      <c r="S173" s="1129" t="str">
        <f t="shared" si="14"/>
        <v/>
      </c>
      <c r="T173" s="1068"/>
      <c r="U173" s="1069"/>
      <c r="V173" s="1267" t="str">
        <f t="shared" si="15"/>
        <v/>
      </c>
      <c r="W173" s="1062"/>
      <c r="X173" s="1062"/>
      <c r="Y173" s="1062"/>
      <c r="Z173" s="1062"/>
      <c r="AA173" s="1062"/>
      <c r="AB173" s="1062"/>
      <c r="AC173" s="1062"/>
      <c r="AD173" s="1062"/>
      <c r="AE173" s="1062"/>
      <c r="AF173" s="1062"/>
      <c r="AG173" s="1062"/>
      <c r="AH173" s="1062"/>
      <c r="AI173" s="1062"/>
      <c r="AJ173" s="1062"/>
      <c r="AK173" s="1062"/>
      <c r="AL173" s="1062"/>
      <c r="AM173" s="1062"/>
      <c r="AN173" s="1062"/>
      <c r="AO173" s="1062"/>
      <c r="AP173" s="1062"/>
      <c r="AQ173" s="1062"/>
      <c r="AR173" s="1062"/>
      <c r="AS173" s="1062"/>
      <c r="AT173" s="1062"/>
      <c r="AU173" s="1062"/>
      <c r="AV173" s="1062"/>
      <c r="AW173" s="1062"/>
    </row>
    <row r="174" spans="2:49" x14ac:dyDescent="0.2">
      <c r="B174" s="1078"/>
      <c r="C174" s="1079"/>
      <c r="D174" s="1078"/>
      <c r="E174" s="1081"/>
      <c r="F174" s="1081"/>
      <c r="G174" s="1066"/>
      <c r="H174" s="1069"/>
      <c r="I174" s="1069"/>
      <c r="J174" s="1128" t="str">
        <f t="shared" si="11"/>
        <v/>
      </c>
      <c r="K174" s="1069"/>
      <c r="L174" s="1069"/>
      <c r="M174" s="1129" t="str">
        <f t="shared" si="12"/>
        <v/>
      </c>
      <c r="N174" s="1069"/>
      <c r="O174" s="1069"/>
      <c r="P174" s="1129" t="str">
        <f t="shared" si="13"/>
        <v/>
      </c>
      <c r="Q174" s="1069"/>
      <c r="R174" s="1069"/>
      <c r="S174" s="1129" t="str">
        <f t="shared" si="14"/>
        <v/>
      </c>
      <c r="T174" s="1068"/>
      <c r="U174" s="1069"/>
      <c r="V174" s="1267" t="str">
        <f t="shared" si="15"/>
        <v/>
      </c>
      <c r="W174" s="1062"/>
      <c r="X174" s="1062"/>
      <c r="Y174" s="1062"/>
      <c r="Z174" s="1062"/>
      <c r="AA174" s="1062"/>
      <c r="AB174" s="1062"/>
      <c r="AC174" s="1062"/>
      <c r="AD174" s="1062"/>
      <c r="AE174" s="1062"/>
      <c r="AF174" s="1062"/>
      <c r="AG174" s="1062"/>
      <c r="AH174" s="1062"/>
      <c r="AI174" s="1062"/>
      <c r="AJ174" s="1062"/>
      <c r="AK174" s="1062"/>
      <c r="AL174" s="1062"/>
      <c r="AM174" s="1062"/>
      <c r="AN174" s="1062"/>
      <c r="AO174" s="1062"/>
      <c r="AP174" s="1062"/>
      <c r="AQ174" s="1062"/>
      <c r="AR174" s="1062"/>
      <c r="AS174" s="1062"/>
      <c r="AT174" s="1062"/>
      <c r="AU174" s="1062"/>
      <c r="AV174" s="1062"/>
      <c r="AW174" s="1062"/>
    </row>
    <row r="175" spans="2:49" x14ac:dyDescent="0.2">
      <c r="B175" s="1078"/>
      <c r="C175" s="1079"/>
      <c r="D175" s="1078"/>
      <c r="E175" s="1081"/>
      <c r="F175" s="1081"/>
      <c r="G175" s="1066"/>
      <c r="H175" s="1069"/>
      <c r="I175" s="1069"/>
      <c r="J175" s="1128" t="str">
        <f t="shared" si="11"/>
        <v/>
      </c>
      <c r="K175" s="1069"/>
      <c r="L175" s="1069"/>
      <c r="M175" s="1129" t="str">
        <f t="shared" si="12"/>
        <v/>
      </c>
      <c r="N175" s="1069"/>
      <c r="O175" s="1069"/>
      <c r="P175" s="1129" t="str">
        <f t="shared" si="13"/>
        <v/>
      </c>
      <c r="Q175" s="1069"/>
      <c r="R175" s="1069"/>
      <c r="S175" s="1129" t="str">
        <f t="shared" si="14"/>
        <v/>
      </c>
      <c r="T175" s="1068"/>
      <c r="U175" s="1069"/>
      <c r="V175" s="1267" t="str">
        <f t="shared" si="15"/>
        <v/>
      </c>
      <c r="W175" s="1062"/>
      <c r="X175" s="1062"/>
      <c r="Y175" s="1062"/>
      <c r="Z175" s="1062"/>
      <c r="AA175" s="1062"/>
      <c r="AB175" s="1062"/>
      <c r="AC175" s="1062"/>
      <c r="AD175" s="1062"/>
      <c r="AE175" s="1062"/>
      <c r="AF175" s="1062"/>
      <c r="AG175" s="1062"/>
      <c r="AH175" s="1062"/>
      <c r="AI175" s="1062"/>
      <c r="AJ175" s="1062"/>
      <c r="AK175" s="1062"/>
      <c r="AL175" s="1062"/>
      <c r="AM175" s="1062"/>
      <c r="AN175" s="1062"/>
      <c r="AO175" s="1062"/>
      <c r="AP175" s="1062"/>
      <c r="AQ175" s="1062"/>
      <c r="AR175" s="1062"/>
      <c r="AS175" s="1062"/>
      <c r="AT175" s="1062"/>
      <c r="AU175" s="1062"/>
      <c r="AV175" s="1062"/>
      <c r="AW175" s="1062"/>
    </row>
    <row r="176" spans="2:49" x14ac:dyDescent="0.2">
      <c r="B176" s="1078"/>
      <c r="C176" s="1079"/>
      <c r="D176" s="1078"/>
      <c r="E176" s="1081"/>
      <c r="F176" s="1081"/>
      <c r="G176" s="1066"/>
      <c r="H176" s="1069"/>
      <c r="I176" s="1069"/>
      <c r="J176" s="1128" t="str">
        <f t="shared" si="11"/>
        <v/>
      </c>
      <c r="K176" s="1069"/>
      <c r="L176" s="1069"/>
      <c r="M176" s="1129" t="str">
        <f t="shared" si="12"/>
        <v/>
      </c>
      <c r="N176" s="1069"/>
      <c r="O176" s="1069"/>
      <c r="P176" s="1129" t="str">
        <f t="shared" si="13"/>
        <v/>
      </c>
      <c r="Q176" s="1069"/>
      <c r="R176" s="1069"/>
      <c r="S176" s="1129" t="str">
        <f t="shared" si="14"/>
        <v/>
      </c>
      <c r="T176" s="1068"/>
      <c r="U176" s="1069"/>
      <c r="V176" s="1267" t="str">
        <f t="shared" si="15"/>
        <v/>
      </c>
      <c r="W176" s="1062"/>
      <c r="X176" s="1062"/>
      <c r="Y176" s="1062"/>
      <c r="Z176" s="1062"/>
      <c r="AA176" s="1062"/>
      <c r="AB176" s="1062"/>
      <c r="AC176" s="1062"/>
      <c r="AD176" s="1062"/>
      <c r="AE176" s="1062"/>
      <c r="AF176" s="1062"/>
      <c r="AG176" s="1062"/>
      <c r="AH176" s="1062"/>
      <c r="AI176" s="1062"/>
      <c r="AJ176" s="1062"/>
      <c r="AK176" s="1062"/>
      <c r="AL176" s="1062"/>
      <c r="AM176" s="1062"/>
      <c r="AN176" s="1062"/>
      <c r="AO176" s="1062"/>
      <c r="AP176" s="1062"/>
      <c r="AQ176" s="1062"/>
      <c r="AR176" s="1062"/>
      <c r="AS176" s="1062"/>
      <c r="AT176" s="1062"/>
      <c r="AU176" s="1062"/>
      <c r="AV176" s="1062"/>
      <c r="AW176" s="1062"/>
    </row>
    <row r="177" spans="2:49" x14ac:dyDescent="0.2">
      <c r="B177" s="1078"/>
      <c r="C177" s="1079"/>
      <c r="D177" s="1078"/>
      <c r="E177" s="1081"/>
      <c r="F177" s="1081"/>
      <c r="G177" s="1066"/>
      <c r="H177" s="1069"/>
      <c r="I177" s="1069"/>
      <c r="J177" s="1128" t="str">
        <f t="shared" si="11"/>
        <v/>
      </c>
      <c r="K177" s="1069"/>
      <c r="L177" s="1069"/>
      <c r="M177" s="1129" t="str">
        <f t="shared" si="12"/>
        <v/>
      </c>
      <c r="N177" s="1069"/>
      <c r="O177" s="1069"/>
      <c r="P177" s="1129" t="str">
        <f t="shared" si="13"/>
        <v/>
      </c>
      <c r="Q177" s="1069"/>
      <c r="R177" s="1069"/>
      <c r="S177" s="1129" t="str">
        <f t="shared" si="14"/>
        <v/>
      </c>
      <c r="T177" s="1068"/>
      <c r="U177" s="1069"/>
      <c r="V177" s="1267" t="str">
        <f t="shared" si="15"/>
        <v/>
      </c>
      <c r="W177" s="1062"/>
      <c r="X177" s="1062"/>
      <c r="Y177" s="1062"/>
      <c r="Z177" s="1062"/>
      <c r="AA177" s="1062"/>
      <c r="AB177" s="1062"/>
      <c r="AC177" s="1062"/>
      <c r="AD177" s="1062"/>
      <c r="AE177" s="1062"/>
      <c r="AF177" s="1062"/>
      <c r="AG177" s="1062"/>
      <c r="AH177" s="1062"/>
      <c r="AI177" s="1062"/>
      <c r="AJ177" s="1062"/>
      <c r="AK177" s="1062"/>
      <c r="AL177" s="1062"/>
      <c r="AM177" s="1062"/>
      <c r="AN177" s="1062"/>
      <c r="AO177" s="1062"/>
      <c r="AP177" s="1062"/>
      <c r="AQ177" s="1062"/>
      <c r="AR177" s="1062"/>
      <c r="AS177" s="1062"/>
      <c r="AT177" s="1062"/>
      <c r="AU177" s="1062"/>
      <c r="AV177" s="1062"/>
      <c r="AW177" s="1062"/>
    </row>
    <row r="178" spans="2:49" x14ac:dyDescent="0.2">
      <c r="B178" s="1078"/>
      <c r="C178" s="1079"/>
      <c r="D178" s="1078"/>
      <c r="E178" s="1081"/>
      <c r="F178" s="1081"/>
      <c r="G178" s="1066"/>
      <c r="H178" s="1069"/>
      <c r="I178" s="1069"/>
      <c r="J178" s="1128" t="str">
        <f t="shared" si="11"/>
        <v/>
      </c>
      <c r="K178" s="1069"/>
      <c r="L178" s="1069"/>
      <c r="M178" s="1129" t="str">
        <f t="shared" si="12"/>
        <v/>
      </c>
      <c r="N178" s="1069"/>
      <c r="O178" s="1069"/>
      <c r="P178" s="1129" t="str">
        <f t="shared" si="13"/>
        <v/>
      </c>
      <c r="Q178" s="1069"/>
      <c r="R178" s="1069"/>
      <c r="S178" s="1129" t="str">
        <f t="shared" si="14"/>
        <v/>
      </c>
      <c r="T178" s="1068"/>
      <c r="U178" s="1069"/>
      <c r="V178" s="1267" t="str">
        <f t="shared" si="15"/>
        <v/>
      </c>
      <c r="W178" s="1062"/>
      <c r="X178" s="1062"/>
      <c r="Y178" s="1062"/>
      <c r="Z178" s="1062"/>
      <c r="AA178" s="1062"/>
      <c r="AB178" s="1062"/>
      <c r="AC178" s="1062"/>
      <c r="AD178" s="1062"/>
      <c r="AE178" s="1062"/>
      <c r="AF178" s="1062"/>
      <c r="AG178" s="1062"/>
      <c r="AH178" s="1062"/>
      <c r="AI178" s="1062"/>
      <c r="AJ178" s="1062"/>
      <c r="AK178" s="1062"/>
      <c r="AL178" s="1062"/>
      <c r="AM178" s="1062"/>
      <c r="AN178" s="1062"/>
      <c r="AO178" s="1062"/>
      <c r="AP178" s="1062"/>
      <c r="AQ178" s="1062"/>
      <c r="AR178" s="1062"/>
      <c r="AS178" s="1062"/>
      <c r="AT178" s="1062"/>
      <c r="AU178" s="1062"/>
      <c r="AV178" s="1062"/>
      <c r="AW178" s="1062"/>
    </row>
    <row r="179" spans="2:49" x14ac:dyDescent="0.2">
      <c r="B179" s="1078"/>
      <c r="C179" s="1079"/>
      <c r="D179" s="1078"/>
      <c r="E179" s="1081"/>
      <c r="F179" s="1081"/>
      <c r="G179" s="1066"/>
      <c r="H179" s="1069"/>
      <c r="I179" s="1069"/>
      <c r="J179" s="1128" t="str">
        <f t="shared" si="11"/>
        <v/>
      </c>
      <c r="K179" s="1069"/>
      <c r="L179" s="1069"/>
      <c r="M179" s="1129" t="str">
        <f t="shared" si="12"/>
        <v/>
      </c>
      <c r="N179" s="1069"/>
      <c r="O179" s="1069"/>
      <c r="P179" s="1129" t="str">
        <f t="shared" si="13"/>
        <v/>
      </c>
      <c r="Q179" s="1069"/>
      <c r="R179" s="1069"/>
      <c r="S179" s="1129" t="str">
        <f t="shared" si="14"/>
        <v/>
      </c>
      <c r="T179" s="1068"/>
      <c r="U179" s="1069"/>
      <c r="V179" s="1267" t="str">
        <f t="shared" si="15"/>
        <v/>
      </c>
      <c r="W179" s="1062"/>
      <c r="X179" s="1062"/>
      <c r="Y179" s="1062"/>
      <c r="Z179" s="1062"/>
      <c r="AA179" s="1062"/>
      <c r="AB179" s="1062"/>
      <c r="AC179" s="1062"/>
      <c r="AD179" s="1062"/>
      <c r="AE179" s="1062"/>
      <c r="AF179" s="1062"/>
      <c r="AG179" s="1062"/>
      <c r="AH179" s="1062"/>
      <c r="AI179" s="1062"/>
      <c r="AJ179" s="1062"/>
      <c r="AK179" s="1062"/>
      <c r="AL179" s="1062"/>
      <c r="AM179" s="1062"/>
      <c r="AN179" s="1062"/>
      <c r="AO179" s="1062"/>
      <c r="AP179" s="1062"/>
      <c r="AQ179" s="1062"/>
      <c r="AR179" s="1062"/>
      <c r="AS179" s="1062"/>
      <c r="AT179" s="1062"/>
      <c r="AU179" s="1062"/>
      <c r="AV179" s="1062"/>
      <c r="AW179" s="1062"/>
    </row>
    <row r="180" spans="2:49" x14ac:dyDescent="0.2">
      <c r="B180" s="1078"/>
      <c r="C180" s="1079"/>
      <c r="D180" s="1078"/>
      <c r="E180" s="1081"/>
      <c r="F180" s="1081"/>
      <c r="G180" s="1066"/>
      <c r="H180" s="1069"/>
      <c r="I180" s="1069"/>
      <c r="J180" s="1128" t="str">
        <f t="shared" si="11"/>
        <v/>
      </c>
      <c r="K180" s="1069"/>
      <c r="L180" s="1069"/>
      <c r="M180" s="1129" t="str">
        <f t="shared" si="12"/>
        <v/>
      </c>
      <c r="N180" s="1069"/>
      <c r="O180" s="1069"/>
      <c r="P180" s="1129" t="str">
        <f t="shared" si="13"/>
        <v/>
      </c>
      <c r="Q180" s="1069"/>
      <c r="R180" s="1069"/>
      <c r="S180" s="1129" t="str">
        <f t="shared" si="14"/>
        <v/>
      </c>
      <c r="T180" s="1068"/>
      <c r="U180" s="1069"/>
      <c r="V180" s="1267" t="str">
        <f t="shared" si="15"/>
        <v/>
      </c>
      <c r="W180" s="1062"/>
      <c r="X180" s="1062"/>
      <c r="Y180" s="1062"/>
      <c r="Z180" s="1062"/>
      <c r="AA180" s="1062"/>
      <c r="AB180" s="1062"/>
      <c r="AC180" s="1062"/>
      <c r="AD180" s="1062"/>
      <c r="AE180" s="1062"/>
      <c r="AF180" s="1062"/>
      <c r="AG180" s="1062"/>
      <c r="AH180" s="1062"/>
      <c r="AI180" s="1062"/>
      <c r="AJ180" s="1062"/>
      <c r="AK180" s="1062"/>
      <c r="AL180" s="1062"/>
      <c r="AM180" s="1062"/>
      <c r="AN180" s="1062"/>
      <c r="AO180" s="1062"/>
      <c r="AP180" s="1062"/>
      <c r="AQ180" s="1062"/>
      <c r="AR180" s="1062"/>
      <c r="AS180" s="1062"/>
      <c r="AT180" s="1062"/>
      <c r="AU180" s="1062"/>
      <c r="AV180" s="1062"/>
      <c r="AW180" s="1062"/>
    </row>
    <row r="181" spans="2:49" x14ac:dyDescent="0.2">
      <c r="B181" s="1078"/>
      <c r="C181" s="1079"/>
      <c r="D181" s="1078"/>
      <c r="E181" s="1081"/>
      <c r="F181" s="1081"/>
      <c r="G181" s="1066"/>
      <c r="H181" s="1069"/>
      <c r="I181" s="1069"/>
      <c r="J181" s="1128" t="str">
        <f t="shared" si="11"/>
        <v/>
      </c>
      <c r="K181" s="1069"/>
      <c r="L181" s="1069"/>
      <c r="M181" s="1129" t="str">
        <f t="shared" si="12"/>
        <v/>
      </c>
      <c r="N181" s="1069"/>
      <c r="O181" s="1069"/>
      <c r="P181" s="1129" t="str">
        <f t="shared" si="13"/>
        <v/>
      </c>
      <c r="Q181" s="1069"/>
      <c r="R181" s="1069"/>
      <c r="S181" s="1129" t="str">
        <f t="shared" si="14"/>
        <v/>
      </c>
      <c r="T181" s="1068"/>
      <c r="U181" s="1069"/>
      <c r="V181" s="1267" t="str">
        <f t="shared" si="15"/>
        <v/>
      </c>
      <c r="W181" s="1062"/>
      <c r="X181" s="1062"/>
      <c r="Y181" s="1062"/>
      <c r="Z181" s="1062"/>
      <c r="AA181" s="1062"/>
      <c r="AB181" s="1062"/>
      <c r="AC181" s="1062"/>
      <c r="AD181" s="1062"/>
      <c r="AE181" s="1062"/>
      <c r="AF181" s="1062"/>
      <c r="AG181" s="1062"/>
      <c r="AH181" s="1062"/>
      <c r="AI181" s="1062"/>
      <c r="AJ181" s="1062"/>
      <c r="AK181" s="1062"/>
      <c r="AL181" s="1062"/>
      <c r="AM181" s="1062"/>
      <c r="AN181" s="1062"/>
      <c r="AO181" s="1062"/>
      <c r="AP181" s="1062"/>
      <c r="AQ181" s="1062"/>
      <c r="AR181" s="1062"/>
      <c r="AS181" s="1062"/>
      <c r="AT181" s="1062"/>
      <c r="AU181" s="1062"/>
      <c r="AV181" s="1062"/>
      <c r="AW181" s="1062"/>
    </row>
    <row r="182" spans="2:49" x14ac:dyDescent="0.2">
      <c r="B182" s="1078"/>
      <c r="C182" s="1079"/>
      <c r="D182" s="1078"/>
      <c r="E182" s="1081"/>
      <c r="F182" s="1081"/>
      <c r="G182" s="1066"/>
      <c r="H182" s="1069"/>
      <c r="I182" s="1069"/>
      <c r="J182" s="1128" t="str">
        <f t="shared" si="11"/>
        <v/>
      </c>
      <c r="K182" s="1069"/>
      <c r="L182" s="1069"/>
      <c r="M182" s="1129" t="str">
        <f t="shared" si="12"/>
        <v/>
      </c>
      <c r="N182" s="1069"/>
      <c r="O182" s="1069"/>
      <c r="P182" s="1129" t="str">
        <f t="shared" si="13"/>
        <v/>
      </c>
      <c r="Q182" s="1069"/>
      <c r="R182" s="1069"/>
      <c r="S182" s="1129" t="str">
        <f t="shared" si="14"/>
        <v/>
      </c>
      <c r="T182" s="1068"/>
      <c r="U182" s="1069"/>
      <c r="V182" s="1267" t="str">
        <f t="shared" si="15"/>
        <v/>
      </c>
      <c r="W182" s="1062"/>
      <c r="X182" s="1062"/>
      <c r="Y182" s="1062"/>
      <c r="Z182" s="1062"/>
      <c r="AA182" s="1062"/>
      <c r="AB182" s="1062"/>
      <c r="AC182" s="1062"/>
      <c r="AD182" s="1062"/>
      <c r="AE182" s="1062"/>
      <c r="AF182" s="1062"/>
      <c r="AG182" s="1062"/>
      <c r="AH182" s="1062"/>
      <c r="AI182" s="1062"/>
      <c r="AJ182" s="1062"/>
      <c r="AK182" s="1062"/>
      <c r="AL182" s="1062"/>
      <c r="AM182" s="1062"/>
      <c r="AN182" s="1062"/>
      <c r="AO182" s="1062"/>
      <c r="AP182" s="1062"/>
      <c r="AQ182" s="1062"/>
      <c r="AR182" s="1062"/>
      <c r="AS182" s="1062"/>
      <c r="AT182" s="1062"/>
      <c r="AU182" s="1062"/>
      <c r="AV182" s="1062"/>
      <c r="AW182" s="1062"/>
    </row>
    <row r="183" spans="2:49" x14ac:dyDescent="0.2">
      <c r="B183" s="1078"/>
      <c r="C183" s="1079"/>
      <c r="D183" s="1078"/>
      <c r="E183" s="1081"/>
      <c r="F183" s="1081"/>
      <c r="G183" s="1066"/>
      <c r="H183" s="1069"/>
      <c r="I183" s="1069"/>
      <c r="J183" s="1128" t="str">
        <f t="shared" si="11"/>
        <v/>
      </c>
      <c r="K183" s="1069"/>
      <c r="L183" s="1069"/>
      <c r="M183" s="1129" t="str">
        <f t="shared" si="12"/>
        <v/>
      </c>
      <c r="N183" s="1069"/>
      <c r="O183" s="1069"/>
      <c r="P183" s="1129" t="str">
        <f t="shared" si="13"/>
        <v/>
      </c>
      <c r="Q183" s="1069"/>
      <c r="R183" s="1069"/>
      <c r="S183" s="1129" t="str">
        <f t="shared" si="14"/>
        <v/>
      </c>
      <c r="T183" s="1068"/>
      <c r="U183" s="1069"/>
      <c r="V183" s="1267" t="str">
        <f t="shared" si="15"/>
        <v/>
      </c>
      <c r="W183" s="1062"/>
      <c r="X183" s="1062"/>
      <c r="Y183" s="1062"/>
      <c r="Z183" s="1062"/>
      <c r="AA183" s="1062"/>
      <c r="AB183" s="1062"/>
      <c r="AC183" s="1062"/>
      <c r="AD183" s="1062"/>
      <c r="AE183" s="1062"/>
      <c r="AF183" s="1062"/>
      <c r="AG183" s="1062"/>
      <c r="AH183" s="1062"/>
      <c r="AI183" s="1062"/>
      <c r="AJ183" s="1062"/>
      <c r="AK183" s="1062"/>
      <c r="AL183" s="1062"/>
      <c r="AM183" s="1062"/>
      <c r="AN183" s="1062"/>
      <c r="AO183" s="1062"/>
      <c r="AP183" s="1062"/>
      <c r="AQ183" s="1062"/>
      <c r="AR183" s="1062"/>
      <c r="AS183" s="1062"/>
      <c r="AT183" s="1062"/>
      <c r="AU183" s="1062"/>
      <c r="AV183" s="1062"/>
      <c r="AW183" s="1062"/>
    </row>
    <row r="184" spans="2:49" x14ac:dyDescent="0.2">
      <c r="B184" s="1078"/>
      <c r="C184" s="1079"/>
      <c r="D184" s="1078"/>
      <c r="E184" s="1081"/>
      <c r="F184" s="1081"/>
      <c r="G184" s="1066"/>
      <c r="H184" s="1069"/>
      <c r="I184" s="1069"/>
      <c r="J184" s="1128" t="str">
        <f t="shared" si="11"/>
        <v/>
      </c>
      <c r="K184" s="1069"/>
      <c r="L184" s="1069"/>
      <c r="M184" s="1129" t="str">
        <f t="shared" si="12"/>
        <v/>
      </c>
      <c r="N184" s="1069"/>
      <c r="O184" s="1069"/>
      <c r="P184" s="1129" t="str">
        <f t="shared" si="13"/>
        <v/>
      </c>
      <c r="Q184" s="1069"/>
      <c r="R184" s="1069"/>
      <c r="S184" s="1129" t="str">
        <f t="shared" si="14"/>
        <v/>
      </c>
      <c r="T184" s="1068"/>
      <c r="U184" s="1069"/>
      <c r="V184" s="1267" t="str">
        <f t="shared" si="15"/>
        <v/>
      </c>
      <c r="W184" s="1062"/>
      <c r="X184" s="1062"/>
      <c r="Y184" s="1062"/>
      <c r="Z184" s="1062"/>
      <c r="AA184" s="1062"/>
      <c r="AB184" s="1062"/>
      <c r="AC184" s="1062"/>
      <c r="AD184" s="1062"/>
      <c r="AE184" s="1062"/>
      <c r="AF184" s="1062"/>
      <c r="AG184" s="1062"/>
      <c r="AH184" s="1062"/>
      <c r="AI184" s="1062"/>
      <c r="AJ184" s="1062"/>
      <c r="AK184" s="1062"/>
      <c r="AL184" s="1062"/>
      <c r="AM184" s="1062"/>
      <c r="AN184" s="1062"/>
      <c r="AO184" s="1062"/>
      <c r="AP184" s="1062"/>
      <c r="AQ184" s="1062"/>
      <c r="AR184" s="1062"/>
      <c r="AS184" s="1062"/>
      <c r="AT184" s="1062"/>
      <c r="AU184" s="1062"/>
      <c r="AV184" s="1062"/>
      <c r="AW184" s="1062"/>
    </row>
    <row r="185" spans="2:49" x14ac:dyDescent="0.2">
      <c r="B185" s="1078"/>
      <c r="C185" s="1079"/>
      <c r="D185" s="1078"/>
      <c r="E185" s="1081"/>
      <c r="F185" s="1081"/>
      <c r="G185" s="1066"/>
      <c r="H185" s="1069"/>
      <c r="I185" s="1069"/>
      <c r="J185" s="1128" t="str">
        <f t="shared" si="11"/>
        <v/>
      </c>
      <c r="K185" s="1069"/>
      <c r="L185" s="1069"/>
      <c r="M185" s="1129" t="str">
        <f t="shared" si="12"/>
        <v/>
      </c>
      <c r="N185" s="1069"/>
      <c r="O185" s="1069"/>
      <c r="P185" s="1129" t="str">
        <f t="shared" si="13"/>
        <v/>
      </c>
      <c r="Q185" s="1069"/>
      <c r="R185" s="1069"/>
      <c r="S185" s="1129" t="str">
        <f t="shared" si="14"/>
        <v/>
      </c>
      <c r="T185" s="1068"/>
      <c r="U185" s="1069"/>
      <c r="V185" s="1267" t="str">
        <f t="shared" si="15"/>
        <v/>
      </c>
      <c r="W185" s="1062"/>
      <c r="X185" s="1062"/>
      <c r="Y185" s="1062"/>
      <c r="Z185" s="1062"/>
      <c r="AA185" s="1062"/>
      <c r="AB185" s="1062"/>
      <c r="AC185" s="1062"/>
      <c r="AD185" s="1062"/>
      <c r="AE185" s="1062"/>
      <c r="AF185" s="1062"/>
      <c r="AG185" s="1062"/>
      <c r="AH185" s="1062"/>
      <c r="AI185" s="1062"/>
      <c r="AJ185" s="1062"/>
      <c r="AK185" s="1062"/>
      <c r="AL185" s="1062"/>
      <c r="AM185" s="1062"/>
      <c r="AN185" s="1062"/>
      <c r="AO185" s="1062"/>
      <c r="AP185" s="1062"/>
      <c r="AQ185" s="1062"/>
      <c r="AR185" s="1062"/>
      <c r="AS185" s="1062"/>
      <c r="AT185" s="1062"/>
      <c r="AU185" s="1062"/>
      <c r="AV185" s="1062"/>
      <c r="AW185" s="1062"/>
    </row>
    <row r="186" spans="2:49" x14ac:dyDescent="0.2">
      <c r="B186" s="1078"/>
      <c r="C186" s="1079"/>
      <c r="D186" s="1078"/>
      <c r="E186" s="1081"/>
      <c r="F186" s="1081"/>
      <c r="G186" s="1066"/>
      <c r="H186" s="1069"/>
      <c r="I186" s="1069"/>
      <c r="J186" s="1128" t="str">
        <f t="shared" si="11"/>
        <v/>
      </c>
      <c r="K186" s="1069"/>
      <c r="L186" s="1069"/>
      <c r="M186" s="1129" t="str">
        <f t="shared" si="12"/>
        <v/>
      </c>
      <c r="N186" s="1069"/>
      <c r="O186" s="1069"/>
      <c r="P186" s="1129" t="str">
        <f t="shared" si="13"/>
        <v/>
      </c>
      <c r="Q186" s="1069"/>
      <c r="R186" s="1069"/>
      <c r="S186" s="1129" t="str">
        <f t="shared" si="14"/>
        <v/>
      </c>
      <c r="T186" s="1068"/>
      <c r="U186" s="1069"/>
      <c r="V186" s="1267" t="str">
        <f t="shared" si="15"/>
        <v/>
      </c>
      <c r="W186" s="1062"/>
      <c r="X186" s="1062"/>
      <c r="Y186" s="1062"/>
      <c r="Z186" s="1062"/>
      <c r="AA186" s="1062"/>
      <c r="AB186" s="1062"/>
      <c r="AC186" s="1062"/>
      <c r="AD186" s="1062"/>
      <c r="AE186" s="1062"/>
      <c r="AF186" s="1062"/>
      <c r="AG186" s="1062"/>
      <c r="AH186" s="1062"/>
      <c r="AI186" s="1062"/>
      <c r="AJ186" s="1062"/>
      <c r="AK186" s="1062"/>
      <c r="AL186" s="1062"/>
      <c r="AM186" s="1062"/>
      <c r="AN186" s="1062"/>
      <c r="AO186" s="1062"/>
      <c r="AP186" s="1062"/>
      <c r="AQ186" s="1062"/>
      <c r="AR186" s="1062"/>
      <c r="AS186" s="1062"/>
      <c r="AT186" s="1062"/>
      <c r="AU186" s="1062"/>
      <c r="AV186" s="1062"/>
      <c r="AW186" s="1062"/>
    </row>
    <row r="187" spans="2:49" x14ac:dyDescent="0.2">
      <c r="B187" s="1078"/>
      <c r="C187" s="1079"/>
      <c r="D187" s="1078"/>
      <c r="E187" s="1081"/>
      <c r="F187" s="1081"/>
      <c r="G187" s="1066"/>
      <c r="H187" s="1069"/>
      <c r="I187" s="1069"/>
      <c r="J187" s="1128" t="str">
        <f t="shared" si="11"/>
        <v/>
      </c>
      <c r="K187" s="1069"/>
      <c r="L187" s="1069"/>
      <c r="M187" s="1129" t="str">
        <f t="shared" si="12"/>
        <v/>
      </c>
      <c r="N187" s="1069"/>
      <c r="O187" s="1069"/>
      <c r="P187" s="1129" t="str">
        <f t="shared" si="13"/>
        <v/>
      </c>
      <c r="Q187" s="1069"/>
      <c r="R187" s="1069"/>
      <c r="S187" s="1129" t="str">
        <f t="shared" si="14"/>
        <v/>
      </c>
      <c r="T187" s="1068"/>
      <c r="U187" s="1069"/>
      <c r="V187" s="1267" t="str">
        <f t="shared" si="15"/>
        <v/>
      </c>
      <c r="W187" s="1062"/>
      <c r="X187" s="1062"/>
      <c r="Y187" s="1062"/>
      <c r="Z187" s="1062"/>
      <c r="AA187" s="1062"/>
      <c r="AB187" s="1062"/>
      <c r="AC187" s="1062"/>
      <c r="AD187" s="1062"/>
      <c r="AE187" s="1062"/>
      <c r="AF187" s="1062"/>
      <c r="AG187" s="1062"/>
      <c r="AH187" s="1062"/>
      <c r="AI187" s="1062"/>
      <c r="AJ187" s="1062"/>
      <c r="AK187" s="1062"/>
      <c r="AL187" s="1062"/>
      <c r="AM187" s="1062"/>
      <c r="AN187" s="1062"/>
      <c r="AO187" s="1062"/>
      <c r="AP187" s="1062"/>
      <c r="AQ187" s="1062"/>
      <c r="AR187" s="1062"/>
      <c r="AS187" s="1062"/>
      <c r="AT187" s="1062"/>
      <c r="AU187" s="1062"/>
      <c r="AV187" s="1062"/>
      <c r="AW187" s="1062"/>
    </row>
    <row r="188" spans="2:49" x14ac:dyDescent="0.2">
      <c r="B188" s="1078"/>
      <c r="C188" s="1079"/>
      <c r="D188" s="1078"/>
      <c r="E188" s="1081"/>
      <c r="F188" s="1081"/>
      <c r="G188" s="1066"/>
      <c r="H188" s="1069"/>
      <c r="I188" s="1069"/>
      <c r="J188" s="1128" t="str">
        <f t="shared" si="11"/>
        <v/>
      </c>
      <c r="K188" s="1069"/>
      <c r="L188" s="1069"/>
      <c r="M188" s="1129" t="str">
        <f t="shared" si="12"/>
        <v/>
      </c>
      <c r="N188" s="1069"/>
      <c r="O188" s="1069"/>
      <c r="P188" s="1129" t="str">
        <f t="shared" si="13"/>
        <v/>
      </c>
      <c r="Q188" s="1069"/>
      <c r="R188" s="1069"/>
      <c r="S188" s="1129" t="str">
        <f t="shared" si="14"/>
        <v/>
      </c>
      <c r="T188" s="1068"/>
      <c r="U188" s="1069"/>
      <c r="V188" s="1267" t="str">
        <f t="shared" si="15"/>
        <v/>
      </c>
      <c r="W188" s="1062"/>
      <c r="X188" s="1062"/>
      <c r="Y188" s="1062"/>
      <c r="Z188" s="1062"/>
      <c r="AA188" s="1062"/>
      <c r="AB188" s="1062"/>
      <c r="AC188" s="1062"/>
      <c r="AD188" s="1062"/>
      <c r="AE188" s="1062"/>
      <c r="AF188" s="1062"/>
      <c r="AG188" s="1062"/>
      <c r="AH188" s="1062"/>
      <c r="AI188" s="1062"/>
      <c r="AJ188" s="1062"/>
      <c r="AK188" s="1062"/>
      <c r="AL188" s="1062"/>
      <c r="AM188" s="1062"/>
      <c r="AN188" s="1062"/>
      <c r="AO188" s="1062"/>
      <c r="AP188" s="1062"/>
      <c r="AQ188" s="1062"/>
      <c r="AR188" s="1062"/>
      <c r="AS188" s="1062"/>
      <c r="AT188" s="1062"/>
      <c r="AU188" s="1062"/>
      <c r="AV188" s="1062"/>
      <c r="AW188" s="1062"/>
    </row>
    <row r="189" spans="2:49" x14ac:dyDescent="0.2">
      <c r="B189" s="1078"/>
      <c r="C189" s="1079"/>
      <c r="D189" s="1078"/>
      <c r="E189" s="1081"/>
      <c r="F189" s="1081"/>
      <c r="G189" s="1066"/>
      <c r="H189" s="1069"/>
      <c r="I189" s="1069"/>
      <c r="J189" s="1128" t="str">
        <f t="shared" si="11"/>
        <v/>
      </c>
      <c r="K189" s="1069"/>
      <c r="L189" s="1069"/>
      <c r="M189" s="1129" t="str">
        <f t="shared" si="12"/>
        <v/>
      </c>
      <c r="N189" s="1069"/>
      <c r="O189" s="1069"/>
      <c r="P189" s="1129" t="str">
        <f t="shared" si="13"/>
        <v/>
      </c>
      <c r="Q189" s="1069"/>
      <c r="R189" s="1069"/>
      <c r="S189" s="1129" t="str">
        <f t="shared" si="14"/>
        <v/>
      </c>
      <c r="T189" s="1068"/>
      <c r="U189" s="1069"/>
      <c r="V189" s="1267" t="str">
        <f t="shared" si="15"/>
        <v/>
      </c>
      <c r="W189" s="1062"/>
      <c r="X189" s="1062"/>
      <c r="Y189" s="1062"/>
      <c r="Z189" s="1062"/>
      <c r="AA189" s="1062"/>
      <c r="AB189" s="1062"/>
      <c r="AC189" s="1062"/>
      <c r="AD189" s="1062"/>
      <c r="AE189" s="1062"/>
      <c r="AF189" s="1062"/>
      <c r="AG189" s="1062"/>
      <c r="AH189" s="1062"/>
      <c r="AI189" s="1062"/>
      <c r="AJ189" s="1062"/>
      <c r="AK189" s="1062"/>
      <c r="AL189" s="1062"/>
      <c r="AM189" s="1062"/>
      <c r="AN189" s="1062"/>
      <c r="AO189" s="1062"/>
      <c r="AP189" s="1062"/>
      <c r="AQ189" s="1062"/>
      <c r="AR189" s="1062"/>
      <c r="AS189" s="1062"/>
      <c r="AT189" s="1062"/>
      <c r="AU189" s="1062"/>
      <c r="AV189" s="1062"/>
      <c r="AW189" s="1062"/>
    </row>
    <row r="190" spans="2:49" x14ac:dyDescent="0.2">
      <c r="B190" s="1078"/>
      <c r="C190" s="1079"/>
      <c r="D190" s="1078"/>
      <c r="E190" s="1081"/>
      <c r="F190" s="1081"/>
      <c r="G190" s="1066"/>
      <c r="H190" s="1069"/>
      <c r="I190" s="1069"/>
      <c r="J190" s="1128" t="str">
        <f t="shared" si="11"/>
        <v/>
      </c>
      <c r="K190" s="1069"/>
      <c r="L190" s="1069"/>
      <c r="M190" s="1129" t="str">
        <f t="shared" si="12"/>
        <v/>
      </c>
      <c r="N190" s="1069"/>
      <c r="O190" s="1069"/>
      <c r="P190" s="1129" t="str">
        <f t="shared" si="13"/>
        <v/>
      </c>
      <c r="Q190" s="1069"/>
      <c r="R190" s="1069"/>
      <c r="S190" s="1129" t="str">
        <f t="shared" si="14"/>
        <v/>
      </c>
      <c r="T190" s="1068"/>
      <c r="U190" s="1069"/>
      <c r="V190" s="1267" t="str">
        <f t="shared" si="15"/>
        <v/>
      </c>
      <c r="W190" s="1062"/>
      <c r="X190" s="1062"/>
      <c r="Y190" s="1062"/>
      <c r="Z190" s="1062"/>
      <c r="AA190" s="1062"/>
      <c r="AB190" s="1062"/>
      <c r="AC190" s="1062"/>
      <c r="AD190" s="1062"/>
      <c r="AE190" s="1062"/>
      <c r="AF190" s="1062"/>
      <c r="AG190" s="1062"/>
      <c r="AH190" s="1062"/>
      <c r="AI190" s="1062"/>
      <c r="AJ190" s="1062"/>
      <c r="AK190" s="1062"/>
      <c r="AL190" s="1062"/>
      <c r="AM190" s="1062"/>
      <c r="AN190" s="1062"/>
      <c r="AO190" s="1062"/>
      <c r="AP190" s="1062"/>
      <c r="AQ190" s="1062"/>
      <c r="AR190" s="1062"/>
      <c r="AS190" s="1062"/>
      <c r="AT190" s="1062"/>
      <c r="AU190" s="1062"/>
      <c r="AV190" s="1062"/>
      <c r="AW190" s="1062"/>
    </row>
    <row r="191" spans="2:49" x14ac:dyDescent="0.2">
      <c r="B191" s="1078"/>
      <c r="C191" s="1079"/>
      <c r="D191" s="1078"/>
      <c r="E191" s="1081"/>
      <c r="F191" s="1081"/>
      <c r="G191" s="1066"/>
      <c r="H191" s="1069"/>
      <c r="I191" s="1069"/>
      <c r="J191" s="1128" t="str">
        <f t="shared" si="11"/>
        <v/>
      </c>
      <c r="K191" s="1069"/>
      <c r="L191" s="1069"/>
      <c r="M191" s="1129" t="str">
        <f t="shared" si="12"/>
        <v/>
      </c>
      <c r="N191" s="1069"/>
      <c r="O191" s="1069"/>
      <c r="P191" s="1129" t="str">
        <f t="shared" si="13"/>
        <v/>
      </c>
      <c r="Q191" s="1069"/>
      <c r="R191" s="1069"/>
      <c r="S191" s="1129" t="str">
        <f t="shared" si="14"/>
        <v/>
      </c>
      <c r="T191" s="1068"/>
      <c r="U191" s="1069"/>
      <c r="V191" s="1267" t="str">
        <f t="shared" si="15"/>
        <v/>
      </c>
      <c r="W191" s="1062"/>
      <c r="X191" s="1062"/>
      <c r="Y191" s="1062"/>
      <c r="Z191" s="1062"/>
      <c r="AA191" s="1062"/>
      <c r="AB191" s="1062"/>
      <c r="AC191" s="1062"/>
      <c r="AD191" s="1062"/>
      <c r="AE191" s="1062"/>
      <c r="AF191" s="1062"/>
      <c r="AG191" s="1062"/>
      <c r="AH191" s="1062"/>
      <c r="AI191" s="1062"/>
      <c r="AJ191" s="1062"/>
      <c r="AK191" s="1062"/>
      <c r="AL191" s="1062"/>
      <c r="AM191" s="1062"/>
      <c r="AN191" s="1062"/>
      <c r="AO191" s="1062"/>
      <c r="AP191" s="1062"/>
      <c r="AQ191" s="1062"/>
      <c r="AR191" s="1062"/>
      <c r="AS191" s="1062"/>
      <c r="AT191" s="1062"/>
      <c r="AU191" s="1062"/>
      <c r="AV191" s="1062"/>
      <c r="AW191" s="1062"/>
    </row>
    <row r="192" spans="2:49" x14ac:dyDescent="0.2">
      <c r="B192" s="1078"/>
      <c r="C192" s="1079"/>
      <c r="D192" s="1078"/>
      <c r="E192" s="1081"/>
      <c r="F192" s="1081"/>
      <c r="G192" s="1066"/>
      <c r="H192" s="1069"/>
      <c r="I192" s="1069"/>
      <c r="J192" s="1128" t="str">
        <f t="shared" si="11"/>
        <v/>
      </c>
      <c r="K192" s="1069"/>
      <c r="L192" s="1069"/>
      <c r="M192" s="1129" t="str">
        <f t="shared" si="12"/>
        <v/>
      </c>
      <c r="N192" s="1069"/>
      <c r="O192" s="1069"/>
      <c r="P192" s="1129" t="str">
        <f t="shared" si="13"/>
        <v/>
      </c>
      <c r="Q192" s="1069"/>
      <c r="R192" s="1069"/>
      <c r="S192" s="1129" t="str">
        <f t="shared" si="14"/>
        <v/>
      </c>
      <c r="T192" s="1068"/>
      <c r="U192" s="1069"/>
      <c r="V192" s="1267" t="str">
        <f t="shared" si="15"/>
        <v/>
      </c>
      <c r="W192" s="1062"/>
      <c r="X192" s="1062"/>
      <c r="Y192" s="1062"/>
      <c r="Z192" s="1062"/>
      <c r="AA192" s="1062"/>
      <c r="AB192" s="1062"/>
      <c r="AC192" s="1062"/>
      <c r="AD192" s="1062"/>
      <c r="AE192" s="1062"/>
      <c r="AF192" s="1062"/>
      <c r="AG192" s="1062"/>
      <c r="AH192" s="1062"/>
      <c r="AI192" s="1062"/>
      <c r="AJ192" s="1062"/>
      <c r="AK192" s="1062"/>
      <c r="AL192" s="1062"/>
      <c r="AM192" s="1062"/>
      <c r="AN192" s="1062"/>
      <c r="AO192" s="1062"/>
      <c r="AP192" s="1062"/>
      <c r="AQ192" s="1062"/>
      <c r="AR192" s="1062"/>
      <c r="AS192" s="1062"/>
      <c r="AT192" s="1062"/>
      <c r="AU192" s="1062"/>
      <c r="AV192" s="1062"/>
      <c r="AW192" s="1062"/>
    </row>
    <row r="193" spans="2:49" x14ac:dyDescent="0.2">
      <c r="B193" s="1078"/>
      <c r="C193" s="1079"/>
      <c r="D193" s="1078"/>
      <c r="E193" s="1081"/>
      <c r="F193" s="1081"/>
      <c r="G193" s="1066"/>
      <c r="H193" s="1069"/>
      <c r="I193" s="1069"/>
      <c r="J193" s="1128" t="str">
        <f t="shared" si="11"/>
        <v/>
      </c>
      <c r="K193" s="1069"/>
      <c r="L193" s="1069"/>
      <c r="M193" s="1129" t="str">
        <f t="shared" si="12"/>
        <v/>
      </c>
      <c r="N193" s="1069"/>
      <c r="O193" s="1069"/>
      <c r="P193" s="1129" t="str">
        <f t="shared" si="13"/>
        <v/>
      </c>
      <c r="Q193" s="1069"/>
      <c r="R193" s="1069"/>
      <c r="S193" s="1129" t="str">
        <f t="shared" si="14"/>
        <v/>
      </c>
      <c r="T193" s="1068"/>
      <c r="U193" s="1069"/>
      <c r="V193" s="1267" t="str">
        <f t="shared" si="15"/>
        <v/>
      </c>
      <c r="W193" s="1062"/>
      <c r="X193" s="1062"/>
      <c r="Y193" s="1062"/>
      <c r="Z193" s="1062"/>
      <c r="AA193" s="1062"/>
      <c r="AB193" s="1062"/>
      <c r="AC193" s="1062"/>
      <c r="AD193" s="1062"/>
      <c r="AE193" s="1062"/>
      <c r="AF193" s="1062"/>
      <c r="AG193" s="1062"/>
      <c r="AH193" s="1062"/>
      <c r="AI193" s="1062"/>
      <c r="AJ193" s="1062"/>
      <c r="AK193" s="1062"/>
      <c r="AL193" s="1062"/>
      <c r="AM193" s="1062"/>
      <c r="AN193" s="1062"/>
      <c r="AO193" s="1062"/>
      <c r="AP193" s="1062"/>
      <c r="AQ193" s="1062"/>
      <c r="AR193" s="1062"/>
      <c r="AS193" s="1062"/>
      <c r="AT193" s="1062"/>
      <c r="AU193" s="1062"/>
      <c r="AV193" s="1062"/>
      <c r="AW193" s="1062"/>
    </row>
    <row r="194" spans="2:49" x14ac:dyDescent="0.2">
      <c r="B194" s="1078"/>
      <c r="C194" s="1079"/>
      <c r="D194" s="1078"/>
      <c r="E194" s="1081"/>
      <c r="F194" s="1081"/>
      <c r="G194" s="1066"/>
      <c r="H194" s="1069"/>
      <c r="I194" s="1069"/>
      <c r="J194" s="1128" t="str">
        <f t="shared" si="11"/>
        <v/>
      </c>
      <c r="K194" s="1069"/>
      <c r="L194" s="1069"/>
      <c r="M194" s="1129" t="str">
        <f t="shared" si="12"/>
        <v/>
      </c>
      <c r="N194" s="1069"/>
      <c r="O194" s="1069"/>
      <c r="P194" s="1129" t="str">
        <f t="shared" si="13"/>
        <v/>
      </c>
      <c r="Q194" s="1069"/>
      <c r="R194" s="1069"/>
      <c r="S194" s="1129" t="str">
        <f t="shared" si="14"/>
        <v/>
      </c>
      <c r="T194" s="1068"/>
      <c r="U194" s="1069"/>
      <c r="V194" s="1267" t="str">
        <f t="shared" si="15"/>
        <v/>
      </c>
      <c r="W194" s="1062"/>
      <c r="X194" s="1062"/>
      <c r="Y194" s="1062"/>
      <c r="Z194" s="1062"/>
      <c r="AA194" s="1062"/>
      <c r="AB194" s="1062"/>
      <c r="AC194" s="1062"/>
      <c r="AD194" s="1062"/>
      <c r="AE194" s="1062"/>
      <c r="AF194" s="1062"/>
      <c r="AG194" s="1062"/>
      <c r="AH194" s="1062"/>
      <c r="AI194" s="1062"/>
      <c r="AJ194" s="1062"/>
      <c r="AK194" s="1062"/>
      <c r="AL194" s="1062"/>
      <c r="AM194" s="1062"/>
      <c r="AN194" s="1062"/>
      <c r="AO194" s="1062"/>
      <c r="AP194" s="1062"/>
      <c r="AQ194" s="1062"/>
      <c r="AR194" s="1062"/>
      <c r="AS194" s="1062"/>
      <c r="AT194" s="1062"/>
      <c r="AU194" s="1062"/>
      <c r="AV194" s="1062"/>
      <c r="AW194" s="1062"/>
    </row>
    <row r="195" spans="2:49" x14ac:dyDescent="0.2">
      <c r="B195" s="1078"/>
      <c r="C195" s="1079"/>
      <c r="D195" s="1078"/>
      <c r="E195" s="1081"/>
      <c r="F195" s="1081"/>
      <c r="G195" s="1066"/>
      <c r="H195" s="1069"/>
      <c r="I195" s="1069"/>
      <c r="J195" s="1128" t="str">
        <f t="shared" si="11"/>
        <v/>
      </c>
      <c r="K195" s="1069"/>
      <c r="L195" s="1069"/>
      <c r="M195" s="1129" t="str">
        <f t="shared" si="12"/>
        <v/>
      </c>
      <c r="N195" s="1069"/>
      <c r="O195" s="1069"/>
      <c r="P195" s="1129" t="str">
        <f t="shared" si="13"/>
        <v/>
      </c>
      <c r="Q195" s="1069"/>
      <c r="R195" s="1069"/>
      <c r="S195" s="1129" t="str">
        <f t="shared" si="14"/>
        <v/>
      </c>
      <c r="T195" s="1068"/>
      <c r="U195" s="1069"/>
      <c r="V195" s="1267" t="str">
        <f t="shared" si="15"/>
        <v/>
      </c>
      <c r="W195" s="1062"/>
      <c r="X195" s="1062"/>
      <c r="Y195" s="1062"/>
      <c r="Z195" s="1062"/>
      <c r="AA195" s="1062"/>
      <c r="AB195" s="1062"/>
      <c r="AC195" s="1062"/>
      <c r="AD195" s="1062"/>
      <c r="AE195" s="1062"/>
      <c r="AF195" s="1062"/>
      <c r="AG195" s="1062"/>
      <c r="AH195" s="1062"/>
      <c r="AI195" s="1062"/>
      <c r="AJ195" s="1062"/>
      <c r="AK195" s="1062"/>
      <c r="AL195" s="1062"/>
      <c r="AM195" s="1062"/>
      <c r="AN195" s="1062"/>
      <c r="AO195" s="1062"/>
      <c r="AP195" s="1062"/>
      <c r="AQ195" s="1062"/>
      <c r="AR195" s="1062"/>
      <c r="AS195" s="1062"/>
      <c r="AT195" s="1062"/>
      <c r="AU195" s="1062"/>
      <c r="AV195" s="1062"/>
      <c r="AW195" s="1062"/>
    </row>
    <row r="196" spans="2:49" x14ac:dyDescent="0.2">
      <c r="B196" s="1078"/>
      <c r="C196" s="1079"/>
      <c r="D196" s="1078"/>
      <c r="E196" s="1081"/>
      <c r="F196" s="1081"/>
      <c r="G196" s="1066"/>
      <c r="H196" s="1069"/>
      <c r="I196" s="1069"/>
      <c r="J196" s="1128" t="str">
        <f t="shared" si="11"/>
        <v/>
      </c>
      <c r="K196" s="1069"/>
      <c r="L196" s="1069"/>
      <c r="M196" s="1129" t="str">
        <f t="shared" si="12"/>
        <v/>
      </c>
      <c r="N196" s="1069"/>
      <c r="O196" s="1069"/>
      <c r="P196" s="1129" t="str">
        <f t="shared" si="13"/>
        <v/>
      </c>
      <c r="Q196" s="1069"/>
      <c r="R196" s="1069"/>
      <c r="S196" s="1129" t="str">
        <f t="shared" si="14"/>
        <v/>
      </c>
      <c r="T196" s="1068"/>
      <c r="U196" s="1069"/>
      <c r="V196" s="1267" t="str">
        <f t="shared" si="15"/>
        <v/>
      </c>
      <c r="W196" s="1062"/>
      <c r="X196" s="1062"/>
      <c r="Y196" s="1062"/>
      <c r="Z196" s="1062"/>
      <c r="AA196" s="1062"/>
      <c r="AB196" s="1062"/>
      <c r="AC196" s="1062"/>
      <c r="AD196" s="1062"/>
      <c r="AE196" s="1062"/>
      <c r="AF196" s="1062"/>
      <c r="AG196" s="1062"/>
      <c r="AH196" s="1062"/>
      <c r="AI196" s="1062"/>
      <c r="AJ196" s="1062"/>
      <c r="AK196" s="1062"/>
      <c r="AL196" s="1062"/>
      <c r="AM196" s="1062"/>
      <c r="AN196" s="1062"/>
      <c r="AO196" s="1062"/>
      <c r="AP196" s="1062"/>
      <c r="AQ196" s="1062"/>
      <c r="AR196" s="1062"/>
      <c r="AS196" s="1062"/>
      <c r="AT196" s="1062"/>
      <c r="AU196" s="1062"/>
      <c r="AV196" s="1062"/>
      <c r="AW196" s="1062"/>
    </row>
    <row r="197" spans="2:49" x14ac:dyDescent="0.2">
      <c r="B197" s="1078"/>
      <c r="C197" s="1079"/>
      <c r="D197" s="1078"/>
      <c r="E197" s="1081"/>
      <c r="F197" s="1081"/>
      <c r="G197" s="1066"/>
      <c r="H197" s="1069"/>
      <c r="I197" s="1069"/>
      <c r="J197" s="1128" t="str">
        <f t="shared" si="11"/>
        <v/>
      </c>
      <c r="K197" s="1069"/>
      <c r="L197" s="1069"/>
      <c r="M197" s="1129" t="str">
        <f t="shared" si="12"/>
        <v/>
      </c>
      <c r="N197" s="1069"/>
      <c r="O197" s="1069"/>
      <c r="P197" s="1129" t="str">
        <f t="shared" si="13"/>
        <v/>
      </c>
      <c r="Q197" s="1069"/>
      <c r="R197" s="1069"/>
      <c r="S197" s="1129" t="str">
        <f t="shared" si="14"/>
        <v/>
      </c>
      <c r="T197" s="1068"/>
      <c r="U197" s="1069"/>
      <c r="V197" s="1267" t="str">
        <f t="shared" si="15"/>
        <v/>
      </c>
      <c r="W197" s="1062"/>
      <c r="X197" s="1062"/>
      <c r="Y197" s="1062"/>
      <c r="Z197" s="1062"/>
      <c r="AA197" s="1062"/>
      <c r="AB197" s="1062"/>
      <c r="AC197" s="1062"/>
      <c r="AD197" s="1062"/>
      <c r="AE197" s="1062"/>
      <c r="AF197" s="1062"/>
      <c r="AG197" s="1062"/>
      <c r="AH197" s="1062"/>
      <c r="AI197" s="1062"/>
      <c r="AJ197" s="1062"/>
      <c r="AK197" s="1062"/>
      <c r="AL197" s="1062"/>
      <c r="AM197" s="1062"/>
      <c r="AN197" s="1062"/>
      <c r="AO197" s="1062"/>
      <c r="AP197" s="1062"/>
      <c r="AQ197" s="1062"/>
      <c r="AR197" s="1062"/>
      <c r="AS197" s="1062"/>
      <c r="AT197" s="1062"/>
      <c r="AU197" s="1062"/>
      <c r="AV197" s="1062"/>
      <c r="AW197" s="1062"/>
    </row>
    <row r="198" spans="2:49" x14ac:dyDescent="0.2">
      <c r="B198" s="1078"/>
      <c r="C198" s="1079"/>
      <c r="D198" s="1078"/>
      <c r="E198" s="1081"/>
      <c r="F198" s="1081"/>
      <c r="G198" s="1066"/>
      <c r="H198" s="1069"/>
      <c r="I198" s="1069"/>
      <c r="J198" s="1128" t="str">
        <f t="shared" si="11"/>
        <v/>
      </c>
      <c r="K198" s="1069"/>
      <c r="L198" s="1069"/>
      <c r="M198" s="1129" t="str">
        <f t="shared" si="12"/>
        <v/>
      </c>
      <c r="N198" s="1069"/>
      <c r="O198" s="1069"/>
      <c r="P198" s="1129" t="str">
        <f t="shared" si="13"/>
        <v/>
      </c>
      <c r="Q198" s="1069"/>
      <c r="R198" s="1069"/>
      <c r="S198" s="1129" t="str">
        <f t="shared" si="14"/>
        <v/>
      </c>
      <c r="T198" s="1068"/>
      <c r="U198" s="1069"/>
      <c r="V198" s="1267" t="str">
        <f t="shared" si="15"/>
        <v/>
      </c>
      <c r="W198" s="1062"/>
      <c r="X198" s="1062"/>
      <c r="Y198" s="1062"/>
      <c r="Z198" s="1062"/>
      <c r="AA198" s="1062"/>
      <c r="AB198" s="1062"/>
      <c r="AC198" s="1062"/>
      <c r="AD198" s="1062"/>
      <c r="AE198" s="1062"/>
      <c r="AF198" s="1062"/>
      <c r="AG198" s="1062"/>
      <c r="AH198" s="1062"/>
      <c r="AI198" s="1062"/>
      <c r="AJ198" s="1062"/>
      <c r="AK198" s="1062"/>
      <c r="AL198" s="1062"/>
      <c r="AM198" s="1062"/>
      <c r="AN198" s="1062"/>
      <c r="AO198" s="1062"/>
      <c r="AP198" s="1062"/>
      <c r="AQ198" s="1062"/>
      <c r="AR198" s="1062"/>
      <c r="AS198" s="1062"/>
      <c r="AT198" s="1062"/>
      <c r="AU198" s="1062"/>
      <c r="AV198" s="1062"/>
      <c r="AW198" s="1062"/>
    </row>
    <row r="199" spans="2:49" x14ac:dyDescent="0.2">
      <c r="B199" s="1078"/>
      <c r="C199" s="1079"/>
      <c r="D199" s="1078"/>
      <c r="E199" s="1081"/>
      <c r="F199" s="1081"/>
      <c r="G199" s="1066"/>
      <c r="H199" s="1069"/>
      <c r="I199" s="1069"/>
      <c r="J199" s="1128" t="str">
        <f t="shared" si="11"/>
        <v/>
      </c>
      <c r="K199" s="1069"/>
      <c r="L199" s="1069"/>
      <c r="M199" s="1129" t="str">
        <f t="shared" si="12"/>
        <v/>
      </c>
      <c r="N199" s="1069"/>
      <c r="O199" s="1069"/>
      <c r="P199" s="1129" t="str">
        <f t="shared" si="13"/>
        <v/>
      </c>
      <c r="Q199" s="1069"/>
      <c r="R199" s="1069"/>
      <c r="S199" s="1129" t="str">
        <f t="shared" si="14"/>
        <v/>
      </c>
      <c r="T199" s="1068"/>
      <c r="U199" s="1069"/>
      <c r="V199" s="1267" t="str">
        <f t="shared" si="15"/>
        <v/>
      </c>
      <c r="W199" s="1062"/>
      <c r="X199" s="1062"/>
      <c r="Y199" s="1062"/>
      <c r="Z199" s="1062"/>
      <c r="AA199" s="1062"/>
      <c r="AB199" s="1062"/>
      <c r="AC199" s="1062"/>
      <c r="AD199" s="1062"/>
      <c r="AE199" s="1062"/>
      <c r="AF199" s="1062"/>
      <c r="AG199" s="1062"/>
      <c r="AH199" s="1062"/>
      <c r="AI199" s="1062"/>
      <c r="AJ199" s="1062"/>
      <c r="AK199" s="1062"/>
      <c r="AL199" s="1062"/>
      <c r="AM199" s="1062"/>
      <c r="AN199" s="1062"/>
      <c r="AO199" s="1062"/>
      <c r="AP199" s="1062"/>
      <c r="AQ199" s="1062"/>
      <c r="AR199" s="1062"/>
      <c r="AS199" s="1062"/>
      <c r="AT199" s="1062"/>
      <c r="AU199" s="1062"/>
      <c r="AV199" s="1062"/>
      <c r="AW199" s="1062"/>
    </row>
    <row r="200" spans="2:49" x14ac:dyDescent="0.2">
      <c r="B200" s="1078"/>
      <c r="C200" s="1079"/>
      <c r="D200" s="1078"/>
      <c r="E200" s="1081"/>
      <c r="F200" s="1081"/>
      <c r="G200" s="1066"/>
      <c r="H200" s="1069"/>
      <c r="I200" s="1069"/>
      <c r="J200" s="1128" t="str">
        <f t="shared" si="11"/>
        <v/>
      </c>
      <c r="K200" s="1069"/>
      <c r="L200" s="1069"/>
      <c r="M200" s="1129" t="str">
        <f t="shared" si="12"/>
        <v/>
      </c>
      <c r="N200" s="1069"/>
      <c r="O200" s="1069"/>
      <c r="P200" s="1129" t="str">
        <f t="shared" si="13"/>
        <v/>
      </c>
      <c r="Q200" s="1069"/>
      <c r="R200" s="1069"/>
      <c r="S200" s="1129" t="str">
        <f t="shared" si="14"/>
        <v/>
      </c>
      <c r="T200" s="1068"/>
      <c r="U200" s="1069"/>
      <c r="V200" s="1267" t="str">
        <f t="shared" si="15"/>
        <v/>
      </c>
      <c r="W200" s="1062"/>
      <c r="X200" s="1062"/>
      <c r="Y200" s="1062"/>
      <c r="Z200" s="1062"/>
      <c r="AA200" s="1062"/>
      <c r="AB200" s="1062"/>
      <c r="AC200" s="1062"/>
      <c r="AD200" s="1062"/>
      <c r="AE200" s="1062"/>
      <c r="AF200" s="1062"/>
      <c r="AG200" s="1062"/>
      <c r="AH200" s="1062"/>
      <c r="AI200" s="1062"/>
      <c r="AJ200" s="1062"/>
      <c r="AK200" s="1062"/>
      <c r="AL200" s="1062"/>
      <c r="AM200" s="1062"/>
      <c r="AN200" s="1062"/>
      <c r="AO200" s="1062"/>
      <c r="AP200" s="1062"/>
      <c r="AQ200" s="1062"/>
      <c r="AR200" s="1062"/>
      <c r="AS200" s="1062"/>
      <c r="AT200" s="1062"/>
      <c r="AU200" s="1062"/>
      <c r="AV200" s="1062"/>
      <c r="AW200" s="1062"/>
    </row>
    <row r="201" spans="2:49" x14ac:dyDescent="0.2">
      <c r="B201" s="1078"/>
      <c r="C201" s="1079"/>
      <c r="D201" s="1078"/>
      <c r="E201" s="1081"/>
      <c r="F201" s="1081"/>
      <c r="G201" s="1066"/>
      <c r="H201" s="1069"/>
      <c r="I201" s="1069"/>
      <c r="J201" s="1128" t="str">
        <f t="shared" si="11"/>
        <v/>
      </c>
      <c r="K201" s="1069"/>
      <c r="L201" s="1069"/>
      <c r="M201" s="1129" t="str">
        <f t="shared" si="12"/>
        <v/>
      </c>
      <c r="N201" s="1069"/>
      <c r="O201" s="1069"/>
      <c r="P201" s="1129" t="str">
        <f t="shared" si="13"/>
        <v/>
      </c>
      <c r="Q201" s="1069"/>
      <c r="R201" s="1069"/>
      <c r="S201" s="1129" t="str">
        <f t="shared" si="14"/>
        <v/>
      </c>
      <c r="T201" s="1068"/>
      <c r="U201" s="1069"/>
      <c r="V201" s="1267" t="str">
        <f t="shared" si="15"/>
        <v/>
      </c>
      <c r="W201" s="1062"/>
      <c r="X201" s="1062"/>
      <c r="Y201" s="1062"/>
      <c r="Z201" s="1062"/>
      <c r="AA201" s="1062"/>
      <c r="AB201" s="1062"/>
      <c r="AC201" s="1062"/>
      <c r="AD201" s="1062"/>
      <c r="AE201" s="1062"/>
      <c r="AF201" s="1062"/>
      <c r="AG201" s="1062"/>
      <c r="AH201" s="1062"/>
      <c r="AI201" s="1062"/>
      <c r="AJ201" s="1062"/>
      <c r="AK201" s="1062"/>
      <c r="AL201" s="1062"/>
      <c r="AM201" s="1062"/>
      <c r="AN201" s="1062"/>
      <c r="AO201" s="1062"/>
      <c r="AP201" s="1062"/>
      <c r="AQ201" s="1062"/>
      <c r="AR201" s="1062"/>
      <c r="AS201" s="1062"/>
      <c r="AT201" s="1062"/>
      <c r="AU201" s="1062"/>
      <c r="AV201" s="1062"/>
      <c r="AW201" s="1062"/>
    </row>
    <row r="202" spans="2:49" x14ac:dyDescent="0.2">
      <c r="B202" s="1078"/>
      <c r="C202" s="1079"/>
      <c r="D202" s="1078"/>
      <c r="E202" s="1081"/>
      <c r="F202" s="1081"/>
      <c r="G202" s="1066"/>
      <c r="H202" s="1069"/>
      <c r="I202" s="1069"/>
      <c r="J202" s="1128" t="str">
        <f t="shared" si="11"/>
        <v/>
      </c>
      <c r="K202" s="1069"/>
      <c r="L202" s="1069"/>
      <c r="M202" s="1129" t="str">
        <f t="shared" si="12"/>
        <v/>
      </c>
      <c r="N202" s="1069"/>
      <c r="O202" s="1069"/>
      <c r="P202" s="1129" t="str">
        <f t="shared" si="13"/>
        <v/>
      </c>
      <c r="Q202" s="1069"/>
      <c r="R202" s="1069"/>
      <c r="S202" s="1129" t="str">
        <f t="shared" si="14"/>
        <v/>
      </c>
      <c r="T202" s="1068"/>
      <c r="U202" s="1069"/>
      <c r="V202" s="1267" t="str">
        <f t="shared" si="15"/>
        <v/>
      </c>
      <c r="W202" s="1062"/>
      <c r="X202" s="1062"/>
      <c r="Y202" s="1062"/>
      <c r="Z202" s="1062"/>
      <c r="AA202" s="1062"/>
      <c r="AB202" s="1062"/>
      <c r="AC202" s="1062"/>
      <c r="AD202" s="1062"/>
      <c r="AE202" s="1062"/>
      <c r="AF202" s="1062"/>
      <c r="AG202" s="1062"/>
      <c r="AH202" s="1062"/>
      <c r="AI202" s="1062"/>
      <c r="AJ202" s="1062"/>
      <c r="AK202" s="1062"/>
      <c r="AL202" s="1062"/>
      <c r="AM202" s="1062"/>
      <c r="AN202" s="1062"/>
      <c r="AO202" s="1062"/>
      <c r="AP202" s="1062"/>
      <c r="AQ202" s="1062"/>
      <c r="AR202" s="1062"/>
      <c r="AS202" s="1062"/>
      <c r="AT202" s="1062"/>
      <c r="AU202" s="1062"/>
      <c r="AV202" s="1062"/>
      <c r="AW202" s="1062"/>
    </row>
    <row r="203" spans="2:49" x14ac:dyDescent="0.2">
      <c r="B203" s="1078"/>
      <c r="C203" s="1079"/>
      <c r="D203" s="1078"/>
      <c r="E203" s="1081"/>
      <c r="F203" s="1081"/>
      <c r="G203" s="1066"/>
      <c r="H203" s="1069"/>
      <c r="I203" s="1069"/>
      <c r="J203" s="1128" t="str">
        <f t="shared" si="11"/>
        <v/>
      </c>
      <c r="K203" s="1069"/>
      <c r="L203" s="1069"/>
      <c r="M203" s="1129" t="str">
        <f t="shared" si="12"/>
        <v/>
      </c>
      <c r="N203" s="1069"/>
      <c r="O203" s="1069"/>
      <c r="P203" s="1129" t="str">
        <f t="shared" si="13"/>
        <v/>
      </c>
      <c r="Q203" s="1069"/>
      <c r="R203" s="1069"/>
      <c r="S203" s="1129" t="str">
        <f t="shared" si="14"/>
        <v/>
      </c>
      <c r="T203" s="1068"/>
      <c r="U203" s="1069"/>
      <c r="V203" s="1267" t="str">
        <f t="shared" si="15"/>
        <v/>
      </c>
      <c r="W203" s="1062"/>
      <c r="X203" s="1062"/>
      <c r="Y203" s="1062"/>
      <c r="Z203" s="1062"/>
      <c r="AA203" s="1062"/>
      <c r="AB203" s="1062"/>
      <c r="AC203" s="1062"/>
      <c r="AD203" s="1062"/>
      <c r="AE203" s="1062"/>
      <c r="AF203" s="1062"/>
      <c r="AG203" s="1062"/>
      <c r="AH203" s="1062"/>
      <c r="AI203" s="1062"/>
      <c r="AJ203" s="1062"/>
      <c r="AK203" s="1062"/>
      <c r="AL203" s="1062"/>
      <c r="AM203" s="1062"/>
      <c r="AN203" s="1062"/>
      <c r="AO203" s="1062"/>
      <c r="AP203" s="1062"/>
      <c r="AQ203" s="1062"/>
      <c r="AR203" s="1062"/>
      <c r="AS203" s="1062"/>
      <c r="AT203" s="1062"/>
      <c r="AU203" s="1062"/>
      <c r="AV203" s="1062"/>
      <c r="AW203" s="1062"/>
    </row>
    <row r="204" spans="2:49" x14ac:dyDescent="0.2">
      <c r="B204" s="1078"/>
      <c r="C204" s="1079"/>
      <c r="D204" s="1078"/>
      <c r="E204" s="1081"/>
      <c r="F204" s="1081"/>
      <c r="G204" s="1066"/>
      <c r="H204" s="1069"/>
      <c r="I204" s="1069"/>
      <c r="J204" s="1128" t="str">
        <f t="shared" si="11"/>
        <v/>
      </c>
      <c r="K204" s="1069"/>
      <c r="L204" s="1069"/>
      <c r="M204" s="1129" t="str">
        <f t="shared" si="12"/>
        <v/>
      </c>
      <c r="N204" s="1069"/>
      <c r="O204" s="1069"/>
      <c r="P204" s="1129" t="str">
        <f t="shared" si="13"/>
        <v/>
      </c>
      <c r="Q204" s="1069"/>
      <c r="R204" s="1069"/>
      <c r="S204" s="1129" t="str">
        <f t="shared" si="14"/>
        <v/>
      </c>
      <c r="T204" s="1068"/>
      <c r="U204" s="1069"/>
      <c r="V204" s="1267" t="str">
        <f t="shared" si="15"/>
        <v/>
      </c>
      <c r="W204" s="1062"/>
      <c r="X204" s="1062"/>
      <c r="Y204" s="1062"/>
      <c r="Z204" s="1062"/>
      <c r="AA204" s="1062"/>
      <c r="AB204" s="1062"/>
      <c r="AC204" s="1062"/>
      <c r="AD204" s="1062"/>
      <c r="AE204" s="1062"/>
      <c r="AF204" s="1062"/>
      <c r="AG204" s="1062"/>
      <c r="AH204" s="1062"/>
      <c r="AI204" s="1062"/>
      <c r="AJ204" s="1062"/>
      <c r="AK204" s="1062"/>
      <c r="AL204" s="1062"/>
      <c r="AM204" s="1062"/>
      <c r="AN204" s="1062"/>
      <c r="AO204" s="1062"/>
      <c r="AP204" s="1062"/>
      <c r="AQ204" s="1062"/>
      <c r="AR204" s="1062"/>
      <c r="AS204" s="1062"/>
      <c r="AT204" s="1062"/>
      <c r="AU204" s="1062"/>
      <c r="AV204" s="1062"/>
      <c r="AW204" s="1062"/>
    </row>
    <row r="205" spans="2:49" x14ac:dyDescent="0.2">
      <c r="B205" s="1078"/>
      <c r="C205" s="1079"/>
      <c r="D205" s="1078"/>
      <c r="E205" s="1081"/>
      <c r="F205" s="1081"/>
      <c r="G205" s="1066"/>
      <c r="H205" s="1069"/>
      <c r="I205" s="1069"/>
      <c r="J205" s="1128" t="str">
        <f t="shared" si="11"/>
        <v/>
      </c>
      <c r="K205" s="1069"/>
      <c r="L205" s="1069"/>
      <c r="M205" s="1129" t="str">
        <f t="shared" si="12"/>
        <v/>
      </c>
      <c r="N205" s="1069"/>
      <c r="O205" s="1069"/>
      <c r="P205" s="1129" t="str">
        <f t="shared" si="13"/>
        <v/>
      </c>
      <c r="Q205" s="1069"/>
      <c r="R205" s="1069"/>
      <c r="S205" s="1129" t="str">
        <f t="shared" si="14"/>
        <v/>
      </c>
      <c r="T205" s="1068"/>
      <c r="U205" s="1069"/>
      <c r="V205" s="1267" t="str">
        <f t="shared" si="15"/>
        <v/>
      </c>
      <c r="W205" s="1062"/>
      <c r="X205" s="1062"/>
      <c r="Y205" s="1062"/>
      <c r="Z205" s="1062"/>
      <c r="AA205" s="1062"/>
      <c r="AB205" s="1062"/>
      <c r="AC205" s="1062"/>
      <c r="AD205" s="1062"/>
      <c r="AE205" s="1062"/>
      <c r="AF205" s="1062"/>
      <c r="AG205" s="1062"/>
      <c r="AH205" s="1062"/>
      <c r="AI205" s="1062"/>
      <c r="AJ205" s="1062"/>
      <c r="AK205" s="1062"/>
      <c r="AL205" s="1062"/>
      <c r="AM205" s="1062"/>
      <c r="AN205" s="1062"/>
      <c r="AO205" s="1062"/>
      <c r="AP205" s="1062"/>
      <c r="AQ205" s="1062"/>
      <c r="AR205" s="1062"/>
      <c r="AS205" s="1062"/>
      <c r="AT205" s="1062"/>
      <c r="AU205" s="1062"/>
      <c r="AV205" s="1062"/>
      <c r="AW205" s="1062"/>
    </row>
    <row r="206" spans="2:49" x14ac:dyDescent="0.2">
      <c r="B206" s="1078"/>
      <c r="C206" s="1079"/>
      <c r="D206" s="1078"/>
      <c r="E206" s="1081"/>
      <c r="F206" s="1081"/>
      <c r="G206" s="1066"/>
      <c r="H206" s="1069"/>
      <c r="I206" s="1069"/>
      <c r="J206" s="1128" t="str">
        <f t="shared" si="11"/>
        <v/>
      </c>
      <c r="K206" s="1069"/>
      <c r="L206" s="1069"/>
      <c r="M206" s="1129" t="str">
        <f t="shared" si="12"/>
        <v/>
      </c>
      <c r="N206" s="1069"/>
      <c r="O206" s="1069"/>
      <c r="P206" s="1129" t="str">
        <f t="shared" si="13"/>
        <v/>
      </c>
      <c r="Q206" s="1069"/>
      <c r="R206" s="1069"/>
      <c r="S206" s="1129" t="str">
        <f t="shared" si="14"/>
        <v/>
      </c>
      <c r="T206" s="1068"/>
      <c r="U206" s="1069"/>
      <c r="V206" s="1267" t="str">
        <f t="shared" si="15"/>
        <v/>
      </c>
      <c r="W206" s="1062"/>
      <c r="X206" s="1062"/>
      <c r="Y206" s="1062"/>
      <c r="Z206" s="1062"/>
      <c r="AA206" s="1062"/>
      <c r="AB206" s="1062"/>
      <c r="AC206" s="1062"/>
      <c r="AD206" s="1062"/>
      <c r="AE206" s="1062"/>
      <c r="AF206" s="1062"/>
      <c r="AG206" s="1062"/>
      <c r="AH206" s="1062"/>
      <c r="AI206" s="1062"/>
      <c r="AJ206" s="1062"/>
      <c r="AK206" s="1062"/>
      <c r="AL206" s="1062"/>
      <c r="AM206" s="1062"/>
      <c r="AN206" s="1062"/>
      <c r="AO206" s="1062"/>
      <c r="AP206" s="1062"/>
      <c r="AQ206" s="1062"/>
      <c r="AR206" s="1062"/>
      <c r="AS206" s="1062"/>
      <c r="AT206" s="1062"/>
      <c r="AU206" s="1062"/>
      <c r="AV206" s="1062"/>
      <c r="AW206" s="1062"/>
    </row>
    <row r="207" spans="2:49" x14ac:dyDescent="0.2">
      <c r="B207" s="1078"/>
      <c r="C207" s="1079"/>
      <c r="D207" s="1078"/>
      <c r="E207" s="1081"/>
      <c r="F207" s="1081"/>
      <c r="G207" s="1066"/>
      <c r="H207" s="1069"/>
      <c r="I207" s="1069"/>
      <c r="J207" s="1128" t="str">
        <f t="shared" si="11"/>
        <v/>
      </c>
      <c r="K207" s="1069"/>
      <c r="L207" s="1069"/>
      <c r="M207" s="1129" t="str">
        <f t="shared" si="12"/>
        <v/>
      </c>
      <c r="N207" s="1069"/>
      <c r="O207" s="1069"/>
      <c r="P207" s="1129" t="str">
        <f t="shared" si="13"/>
        <v/>
      </c>
      <c r="Q207" s="1069"/>
      <c r="R207" s="1069"/>
      <c r="S207" s="1129" t="str">
        <f t="shared" si="14"/>
        <v/>
      </c>
      <c r="T207" s="1068"/>
      <c r="U207" s="1069"/>
      <c r="V207" s="1267" t="str">
        <f t="shared" si="15"/>
        <v/>
      </c>
      <c r="W207" s="1062"/>
      <c r="X207" s="1062"/>
      <c r="Y207" s="1062"/>
      <c r="Z207" s="1062"/>
      <c r="AA207" s="1062"/>
      <c r="AB207" s="1062"/>
      <c r="AC207" s="1062"/>
      <c r="AD207" s="1062"/>
      <c r="AE207" s="1062"/>
      <c r="AF207" s="1062"/>
      <c r="AG207" s="1062"/>
      <c r="AH207" s="1062"/>
      <c r="AI207" s="1062"/>
      <c r="AJ207" s="1062"/>
      <c r="AK207" s="1062"/>
      <c r="AL207" s="1062"/>
      <c r="AM207" s="1062"/>
      <c r="AN207" s="1062"/>
      <c r="AO207" s="1062"/>
      <c r="AP207" s="1062"/>
      <c r="AQ207" s="1062"/>
      <c r="AR207" s="1062"/>
      <c r="AS207" s="1062"/>
      <c r="AT207" s="1062"/>
      <c r="AU207" s="1062"/>
      <c r="AV207" s="1062"/>
      <c r="AW207" s="1062"/>
    </row>
    <row r="208" spans="2:49" x14ac:dyDescent="0.2">
      <c r="B208" s="1078"/>
      <c r="C208" s="1079"/>
      <c r="D208" s="1078"/>
      <c r="E208" s="1081"/>
      <c r="F208" s="1081"/>
      <c r="G208" s="1066"/>
      <c r="H208" s="1069"/>
      <c r="I208" s="1069"/>
      <c r="J208" s="1128" t="str">
        <f t="shared" si="11"/>
        <v/>
      </c>
      <c r="K208" s="1069"/>
      <c r="L208" s="1069"/>
      <c r="M208" s="1129" t="str">
        <f t="shared" si="12"/>
        <v/>
      </c>
      <c r="N208" s="1069"/>
      <c r="O208" s="1069"/>
      <c r="P208" s="1129" t="str">
        <f t="shared" si="13"/>
        <v/>
      </c>
      <c r="Q208" s="1069"/>
      <c r="R208" s="1069"/>
      <c r="S208" s="1129" t="str">
        <f t="shared" si="14"/>
        <v/>
      </c>
      <c r="T208" s="1068"/>
      <c r="U208" s="1069"/>
      <c r="V208" s="1267" t="str">
        <f t="shared" si="15"/>
        <v/>
      </c>
      <c r="W208" s="1062"/>
      <c r="X208" s="1062"/>
      <c r="Y208" s="1062"/>
      <c r="Z208" s="1062"/>
      <c r="AA208" s="1062"/>
      <c r="AB208" s="1062"/>
      <c r="AC208" s="1062"/>
      <c r="AD208" s="1062"/>
      <c r="AE208" s="1062"/>
      <c r="AF208" s="1062"/>
      <c r="AG208" s="1062"/>
      <c r="AH208" s="1062"/>
      <c r="AI208" s="1062"/>
      <c r="AJ208" s="1062"/>
      <c r="AK208" s="1062"/>
      <c r="AL208" s="1062"/>
      <c r="AM208" s="1062"/>
      <c r="AN208" s="1062"/>
      <c r="AO208" s="1062"/>
      <c r="AP208" s="1062"/>
      <c r="AQ208" s="1062"/>
      <c r="AR208" s="1062"/>
      <c r="AS208" s="1062"/>
      <c r="AT208" s="1062"/>
      <c r="AU208" s="1062"/>
      <c r="AV208" s="1062"/>
      <c r="AW208" s="1062"/>
    </row>
    <row r="209" spans="2:49" x14ac:dyDescent="0.2">
      <c r="B209" s="1078"/>
      <c r="C209" s="1079"/>
      <c r="D209" s="1078"/>
      <c r="E209" s="1081"/>
      <c r="F209" s="1081"/>
      <c r="G209" s="1066"/>
      <c r="H209" s="1069"/>
      <c r="I209" s="1069"/>
      <c r="J209" s="1128" t="str">
        <f t="shared" si="11"/>
        <v/>
      </c>
      <c r="K209" s="1069"/>
      <c r="L209" s="1069"/>
      <c r="M209" s="1129" t="str">
        <f t="shared" si="12"/>
        <v/>
      </c>
      <c r="N209" s="1069"/>
      <c r="O209" s="1069"/>
      <c r="P209" s="1129" t="str">
        <f t="shared" si="13"/>
        <v/>
      </c>
      <c r="Q209" s="1069"/>
      <c r="R209" s="1069"/>
      <c r="S209" s="1129" t="str">
        <f t="shared" si="14"/>
        <v/>
      </c>
      <c r="T209" s="1068"/>
      <c r="U209" s="1069"/>
      <c r="V209" s="1267" t="str">
        <f t="shared" si="15"/>
        <v/>
      </c>
      <c r="W209" s="1062"/>
      <c r="X209" s="1062"/>
      <c r="Y209" s="1062"/>
      <c r="Z209" s="1062"/>
      <c r="AA209" s="1062"/>
      <c r="AB209" s="1062"/>
      <c r="AC209" s="1062"/>
      <c r="AD209" s="1062"/>
      <c r="AE209" s="1062"/>
      <c r="AF209" s="1062"/>
      <c r="AG209" s="1062"/>
      <c r="AH209" s="1062"/>
      <c r="AI209" s="1062"/>
      <c r="AJ209" s="1062"/>
      <c r="AK209" s="1062"/>
      <c r="AL209" s="1062"/>
      <c r="AM209" s="1062"/>
      <c r="AN209" s="1062"/>
      <c r="AO209" s="1062"/>
      <c r="AP209" s="1062"/>
      <c r="AQ209" s="1062"/>
      <c r="AR209" s="1062"/>
      <c r="AS209" s="1062"/>
      <c r="AT209" s="1062"/>
      <c r="AU209" s="1062"/>
      <c r="AV209" s="1062"/>
      <c r="AW209" s="1062"/>
    </row>
    <row r="210" spans="2:49" x14ac:dyDescent="0.2">
      <c r="B210" s="1078"/>
      <c r="C210" s="1079"/>
      <c r="D210" s="1078"/>
      <c r="E210" s="1081"/>
      <c r="F210" s="1081"/>
      <c r="G210" s="1066"/>
      <c r="H210" s="1069"/>
      <c r="I210" s="1069"/>
      <c r="J210" s="1128" t="str">
        <f t="shared" si="11"/>
        <v/>
      </c>
      <c r="K210" s="1069"/>
      <c r="L210" s="1069"/>
      <c r="M210" s="1129" t="str">
        <f t="shared" si="12"/>
        <v/>
      </c>
      <c r="N210" s="1069"/>
      <c r="O210" s="1069"/>
      <c r="P210" s="1129" t="str">
        <f t="shared" si="13"/>
        <v/>
      </c>
      <c r="Q210" s="1069"/>
      <c r="R210" s="1069"/>
      <c r="S210" s="1129" t="str">
        <f t="shared" si="14"/>
        <v/>
      </c>
      <c r="T210" s="1068"/>
      <c r="U210" s="1069"/>
      <c r="V210" s="1267" t="str">
        <f t="shared" si="15"/>
        <v/>
      </c>
      <c r="W210" s="1062"/>
      <c r="X210" s="1062"/>
      <c r="Y210" s="1062"/>
      <c r="Z210" s="1062"/>
      <c r="AA210" s="1062"/>
      <c r="AB210" s="1062"/>
      <c r="AC210" s="1062"/>
      <c r="AD210" s="1062"/>
      <c r="AE210" s="1062"/>
      <c r="AF210" s="1062"/>
      <c r="AG210" s="1062"/>
      <c r="AH210" s="1062"/>
      <c r="AI210" s="1062"/>
      <c r="AJ210" s="1062"/>
      <c r="AK210" s="1062"/>
      <c r="AL210" s="1062"/>
      <c r="AM210" s="1062"/>
      <c r="AN210" s="1062"/>
      <c r="AO210" s="1062"/>
      <c r="AP210" s="1062"/>
      <c r="AQ210" s="1062"/>
      <c r="AR210" s="1062"/>
      <c r="AS210" s="1062"/>
      <c r="AT210" s="1062"/>
      <c r="AU210" s="1062"/>
      <c r="AV210" s="1062"/>
      <c r="AW210" s="1062"/>
    </row>
    <row r="211" spans="2:49" x14ac:dyDescent="0.2">
      <c r="B211" s="1078"/>
      <c r="C211" s="1079"/>
      <c r="D211" s="1078"/>
      <c r="E211" s="1081"/>
      <c r="F211" s="1081"/>
      <c r="G211" s="1066"/>
      <c r="H211" s="1069"/>
      <c r="I211" s="1069"/>
      <c r="J211" s="1128" t="str">
        <f t="shared" si="11"/>
        <v/>
      </c>
      <c r="K211" s="1069"/>
      <c r="L211" s="1069"/>
      <c r="M211" s="1129" t="str">
        <f t="shared" si="12"/>
        <v/>
      </c>
      <c r="N211" s="1069"/>
      <c r="O211" s="1069"/>
      <c r="P211" s="1129" t="str">
        <f t="shared" si="13"/>
        <v/>
      </c>
      <c r="Q211" s="1069"/>
      <c r="R211" s="1069"/>
      <c r="S211" s="1129" t="str">
        <f t="shared" si="14"/>
        <v/>
      </c>
      <c r="T211" s="1068"/>
      <c r="U211" s="1069"/>
      <c r="V211" s="1267" t="str">
        <f t="shared" si="15"/>
        <v/>
      </c>
      <c r="W211" s="1062"/>
      <c r="X211" s="1062"/>
      <c r="Y211" s="1062"/>
      <c r="Z211" s="1062"/>
      <c r="AA211" s="1062"/>
      <c r="AB211" s="1062"/>
      <c r="AC211" s="1062"/>
      <c r="AD211" s="1062"/>
      <c r="AE211" s="1062"/>
      <c r="AF211" s="1062"/>
      <c r="AG211" s="1062"/>
      <c r="AH211" s="1062"/>
      <c r="AI211" s="1062"/>
      <c r="AJ211" s="1062"/>
      <c r="AK211" s="1062"/>
      <c r="AL211" s="1062"/>
      <c r="AM211" s="1062"/>
      <c r="AN211" s="1062"/>
      <c r="AO211" s="1062"/>
      <c r="AP211" s="1062"/>
      <c r="AQ211" s="1062"/>
      <c r="AR211" s="1062"/>
      <c r="AS211" s="1062"/>
      <c r="AT211" s="1062"/>
      <c r="AU211" s="1062"/>
      <c r="AV211" s="1062"/>
      <c r="AW211" s="1062"/>
    </row>
    <row r="212" spans="2:49" x14ac:dyDescent="0.2">
      <c r="B212" s="1078"/>
      <c r="C212" s="1079"/>
      <c r="D212" s="1078"/>
      <c r="E212" s="1081"/>
      <c r="F212" s="1081"/>
      <c r="G212" s="1066"/>
      <c r="H212" s="1069"/>
      <c r="I212" s="1069"/>
      <c r="J212" s="1128" t="str">
        <f t="shared" si="11"/>
        <v/>
      </c>
      <c r="K212" s="1069"/>
      <c r="L212" s="1069"/>
      <c r="M212" s="1129" t="str">
        <f t="shared" si="12"/>
        <v/>
      </c>
      <c r="N212" s="1069"/>
      <c r="O212" s="1069"/>
      <c r="P212" s="1129" t="str">
        <f t="shared" si="13"/>
        <v/>
      </c>
      <c r="Q212" s="1069"/>
      <c r="R212" s="1069"/>
      <c r="S212" s="1129" t="str">
        <f t="shared" si="14"/>
        <v/>
      </c>
      <c r="T212" s="1068"/>
      <c r="U212" s="1069"/>
      <c r="V212" s="1267" t="str">
        <f t="shared" si="15"/>
        <v/>
      </c>
      <c r="W212" s="1062"/>
      <c r="X212" s="1062"/>
      <c r="Y212" s="1062"/>
      <c r="Z212" s="1062"/>
      <c r="AA212" s="1062"/>
      <c r="AB212" s="1062"/>
      <c r="AC212" s="1062"/>
      <c r="AD212" s="1062"/>
      <c r="AE212" s="1062"/>
      <c r="AF212" s="1062"/>
      <c r="AG212" s="1062"/>
      <c r="AH212" s="1062"/>
      <c r="AI212" s="1062"/>
      <c r="AJ212" s="1062"/>
      <c r="AK212" s="1062"/>
      <c r="AL212" s="1062"/>
      <c r="AM212" s="1062"/>
      <c r="AN212" s="1062"/>
      <c r="AO212" s="1062"/>
      <c r="AP212" s="1062"/>
      <c r="AQ212" s="1062"/>
      <c r="AR212" s="1062"/>
      <c r="AS212" s="1062"/>
      <c r="AT212" s="1062"/>
      <c r="AU212" s="1062"/>
      <c r="AV212" s="1062"/>
      <c r="AW212" s="1062"/>
    </row>
    <row r="213" spans="2:49" x14ac:dyDescent="0.2">
      <c r="B213" s="1078"/>
      <c r="C213" s="1079"/>
      <c r="D213" s="1078"/>
      <c r="E213" s="1081"/>
      <c r="F213" s="1081"/>
      <c r="G213" s="1066"/>
      <c r="H213" s="1069"/>
      <c r="I213" s="1069"/>
      <c r="J213" s="1128" t="str">
        <f t="shared" si="11"/>
        <v/>
      </c>
      <c r="K213" s="1069"/>
      <c r="L213" s="1069"/>
      <c r="M213" s="1129" t="str">
        <f t="shared" si="12"/>
        <v/>
      </c>
      <c r="N213" s="1069"/>
      <c r="O213" s="1069"/>
      <c r="P213" s="1129" t="str">
        <f t="shared" si="13"/>
        <v/>
      </c>
      <c r="Q213" s="1069"/>
      <c r="R213" s="1069"/>
      <c r="S213" s="1129" t="str">
        <f t="shared" si="14"/>
        <v/>
      </c>
      <c r="T213" s="1068"/>
      <c r="U213" s="1069"/>
      <c r="V213" s="1267" t="str">
        <f t="shared" si="15"/>
        <v/>
      </c>
      <c r="W213" s="1062"/>
      <c r="X213" s="1062"/>
      <c r="Y213" s="1062"/>
      <c r="Z213" s="1062"/>
      <c r="AA213" s="1062"/>
      <c r="AB213" s="1062"/>
      <c r="AC213" s="1062"/>
      <c r="AD213" s="1062"/>
      <c r="AE213" s="1062"/>
      <c r="AF213" s="1062"/>
      <c r="AG213" s="1062"/>
      <c r="AH213" s="1062"/>
      <c r="AI213" s="1062"/>
      <c r="AJ213" s="1062"/>
      <c r="AK213" s="1062"/>
      <c r="AL213" s="1062"/>
      <c r="AM213" s="1062"/>
      <c r="AN213" s="1062"/>
      <c r="AO213" s="1062"/>
      <c r="AP213" s="1062"/>
      <c r="AQ213" s="1062"/>
      <c r="AR213" s="1062"/>
      <c r="AS213" s="1062"/>
      <c r="AT213" s="1062"/>
      <c r="AU213" s="1062"/>
      <c r="AV213" s="1062"/>
      <c r="AW213" s="1062"/>
    </row>
    <row r="214" spans="2:49" x14ac:dyDescent="0.2">
      <c r="B214" s="1078"/>
      <c r="C214" s="1079"/>
      <c r="D214" s="1078"/>
      <c r="E214" s="1081"/>
      <c r="F214" s="1081"/>
      <c r="G214" s="1066"/>
      <c r="H214" s="1069"/>
      <c r="I214" s="1069"/>
      <c r="J214" s="1128" t="str">
        <f t="shared" si="11"/>
        <v/>
      </c>
      <c r="K214" s="1069"/>
      <c r="L214" s="1069"/>
      <c r="M214" s="1129" t="str">
        <f t="shared" si="12"/>
        <v/>
      </c>
      <c r="N214" s="1069"/>
      <c r="O214" s="1069"/>
      <c r="P214" s="1129" t="str">
        <f t="shared" si="13"/>
        <v/>
      </c>
      <c r="Q214" s="1069"/>
      <c r="R214" s="1069"/>
      <c r="S214" s="1129" t="str">
        <f t="shared" si="14"/>
        <v/>
      </c>
      <c r="T214" s="1068"/>
      <c r="U214" s="1069"/>
      <c r="V214" s="1267" t="str">
        <f t="shared" si="15"/>
        <v/>
      </c>
      <c r="W214" s="1062"/>
      <c r="X214" s="1062"/>
      <c r="Y214" s="1062"/>
      <c r="Z214" s="1062"/>
      <c r="AA214" s="1062"/>
      <c r="AB214" s="1062"/>
      <c r="AC214" s="1062"/>
      <c r="AD214" s="1062"/>
      <c r="AE214" s="1062"/>
      <c r="AF214" s="1062"/>
      <c r="AG214" s="1062"/>
      <c r="AH214" s="1062"/>
      <c r="AI214" s="1062"/>
      <c r="AJ214" s="1062"/>
      <c r="AK214" s="1062"/>
      <c r="AL214" s="1062"/>
      <c r="AM214" s="1062"/>
      <c r="AN214" s="1062"/>
      <c r="AO214" s="1062"/>
      <c r="AP214" s="1062"/>
      <c r="AQ214" s="1062"/>
      <c r="AR214" s="1062"/>
      <c r="AS214" s="1062"/>
      <c r="AT214" s="1062"/>
      <c r="AU214" s="1062"/>
      <c r="AV214" s="1062"/>
      <c r="AW214" s="1062"/>
    </row>
    <row r="215" spans="2:49" x14ac:dyDescent="0.2">
      <c r="B215" s="1078"/>
      <c r="C215" s="1079"/>
      <c r="D215" s="1078"/>
      <c r="E215" s="1081"/>
      <c r="F215" s="1081"/>
      <c r="G215" s="1066"/>
      <c r="H215" s="1069"/>
      <c r="I215" s="1069"/>
      <c r="J215" s="1128" t="str">
        <f t="shared" si="11"/>
        <v/>
      </c>
      <c r="K215" s="1069"/>
      <c r="L215" s="1069"/>
      <c r="M215" s="1129" t="str">
        <f t="shared" si="12"/>
        <v/>
      </c>
      <c r="N215" s="1069"/>
      <c r="O215" s="1069"/>
      <c r="P215" s="1129" t="str">
        <f t="shared" si="13"/>
        <v/>
      </c>
      <c r="Q215" s="1069"/>
      <c r="R215" s="1069"/>
      <c r="S215" s="1129" t="str">
        <f t="shared" si="14"/>
        <v/>
      </c>
      <c r="T215" s="1068"/>
      <c r="U215" s="1069"/>
      <c r="V215" s="1267" t="str">
        <f t="shared" si="15"/>
        <v/>
      </c>
      <c r="W215" s="1062"/>
      <c r="X215" s="1062"/>
      <c r="Y215" s="1062"/>
      <c r="Z215" s="1062"/>
      <c r="AA215" s="1062"/>
      <c r="AB215" s="1062"/>
      <c r="AC215" s="1062"/>
      <c r="AD215" s="1062"/>
      <c r="AE215" s="1062"/>
      <c r="AF215" s="1062"/>
      <c r="AG215" s="1062"/>
      <c r="AH215" s="1062"/>
      <c r="AI215" s="1062"/>
      <c r="AJ215" s="1062"/>
      <c r="AK215" s="1062"/>
      <c r="AL215" s="1062"/>
      <c r="AM215" s="1062"/>
      <c r="AN215" s="1062"/>
      <c r="AO215" s="1062"/>
      <c r="AP215" s="1062"/>
      <c r="AQ215" s="1062"/>
      <c r="AR215" s="1062"/>
      <c r="AS215" s="1062"/>
      <c r="AT215" s="1062"/>
      <c r="AU215" s="1062"/>
      <c r="AV215" s="1062"/>
      <c r="AW215" s="1062"/>
    </row>
    <row r="216" spans="2:49" x14ac:dyDescent="0.2">
      <c r="B216" s="1078"/>
      <c r="C216" s="1079"/>
      <c r="D216" s="1078"/>
      <c r="E216" s="1081"/>
      <c r="F216" s="1081"/>
      <c r="G216" s="1066"/>
      <c r="H216" s="1069"/>
      <c r="I216" s="1069"/>
      <c r="J216" s="1128" t="str">
        <f t="shared" si="11"/>
        <v/>
      </c>
      <c r="K216" s="1069"/>
      <c r="L216" s="1069"/>
      <c r="M216" s="1129" t="str">
        <f t="shared" si="12"/>
        <v/>
      </c>
      <c r="N216" s="1069"/>
      <c r="O216" s="1069"/>
      <c r="P216" s="1129" t="str">
        <f t="shared" si="13"/>
        <v/>
      </c>
      <c r="Q216" s="1069"/>
      <c r="R216" s="1069"/>
      <c r="S216" s="1129" t="str">
        <f t="shared" si="14"/>
        <v/>
      </c>
      <c r="T216" s="1068"/>
      <c r="U216" s="1069"/>
      <c r="V216" s="1267" t="str">
        <f t="shared" si="15"/>
        <v/>
      </c>
      <c r="W216" s="1062"/>
      <c r="X216" s="1062"/>
      <c r="Y216" s="1062"/>
      <c r="Z216" s="1062"/>
      <c r="AA216" s="1062"/>
      <c r="AB216" s="1062"/>
      <c r="AC216" s="1062"/>
      <c r="AD216" s="1062"/>
      <c r="AE216" s="1062"/>
      <c r="AF216" s="1062"/>
      <c r="AG216" s="1062"/>
      <c r="AH216" s="1062"/>
      <c r="AI216" s="1062"/>
      <c r="AJ216" s="1062"/>
      <c r="AK216" s="1062"/>
      <c r="AL216" s="1062"/>
      <c r="AM216" s="1062"/>
      <c r="AN216" s="1062"/>
      <c r="AO216" s="1062"/>
      <c r="AP216" s="1062"/>
      <c r="AQ216" s="1062"/>
      <c r="AR216" s="1062"/>
      <c r="AS216" s="1062"/>
      <c r="AT216" s="1062"/>
      <c r="AU216" s="1062"/>
      <c r="AV216" s="1062"/>
      <c r="AW216" s="1062"/>
    </row>
    <row r="217" spans="2:49" x14ac:dyDescent="0.2">
      <c r="B217" s="1078"/>
      <c r="C217" s="1079"/>
      <c r="D217" s="1078"/>
      <c r="E217" s="1081"/>
      <c r="F217" s="1081"/>
      <c r="G217" s="1066"/>
      <c r="H217" s="1069"/>
      <c r="I217" s="1069"/>
      <c r="J217" s="1128" t="str">
        <f t="shared" si="11"/>
        <v/>
      </c>
      <c r="K217" s="1069"/>
      <c r="L217" s="1069"/>
      <c r="M217" s="1129" t="str">
        <f t="shared" si="12"/>
        <v/>
      </c>
      <c r="N217" s="1069"/>
      <c r="O217" s="1069"/>
      <c r="P217" s="1129" t="str">
        <f t="shared" si="13"/>
        <v/>
      </c>
      <c r="Q217" s="1069"/>
      <c r="R217" s="1069"/>
      <c r="S217" s="1129" t="str">
        <f t="shared" si="14"/>
        <v/>
      </c>
      <c r="T217" s="1068"/>
      <c r="U217" s="1069"/>
      <c r="V217" s="1267" t="str">
        <f t="shared" si="15"/>
        <v/>
      </c>
      <c r="W217" s="1062"/>
      <c r="X217" s="1062"/>
      <c r="Y217" s="1062"/>
      <c r="Z217" s="1062"/>
      <c r="AA217" s="1062"/>
      <c r="AB217" s="1062"/>
      <c r="AC217" s="1062"/>
      <c r="AD217" s="1062"/>
      <c r="AE217" s="1062"/>
      <c r="AF217" s="1062"/>
      <c r="AG217" s="1062"/>
      <c r="AH217" s="1062"/>
      <c r="AI217" s="1062"/>
      <c r="AJ217" s="1062"/>
      <c r="AK217" s="1062"/>
      <c r="AL217" s="1062"/>
      <c r="AM217" s="1062"/>
      <c r="AN217" s="1062"/>
      <c r="AO217" s="1062"/>
      <c r="AP217" s="1062"/>
      <c r="AQ217" s="1062"/>
      <c r="AR217" s="1062"/>
      <c r="AS217" s="1062"/>
      <c r="AT217" s="1062"/>
      <c r="AU217" s="1062"/>
      <c r="AV217" s="1062"/>
      <c r="AW217" s="1062"/>
    </row>
    <row r="218" spans="2:49" x14ac:dyDescent="0.2">
      <c r="B218" s="1078"/>
      <c r="C218" s="1079"/>
      <c r="D218" s="1078"/>
      <c r="E218" s="1081"/>
      <c r="F218" s="1081"/>
      <c r="G218" s="1066"/>
      <c r="H218" s="1069"/>
      <c r="I218" s="1069"/>
      <c r="J218" s="1128" t="str">
        <f t="shared" ref="J218:J281" si="16">IF(AND(H218=0,I218=0),"",IF(I218&lt;&gt;0,IF(I218&gt;H218,"100",I218/H218*100),0))</f>
        <v/>
      </c>
      <c r="K218" s="1069"/>
      <c r="L218" s="1069"/>
      <c r="M218" s="1129" t="str">
        <f t="shared" ref="M218:M281" si="17">IF(AND(K218=0,L218=0),"",IF(L218&lt;&gt;0,IF(L218&gt;K218,"100",L218/K218*100),0))</f>
        <v/>
      </c>
      <c r="N218" s="1069"/>
      <c r="O218" s="1069"/>
      <c r="P218" s="1129" t="str">
        <f t="shared" ref="P218:P281" si="18">IF(AND(N218=0,O218=0),"",IF(O218&lt;&gt;0,IF(O218&gt;N218,"100",O218/N218*100),0))</f>
        <v/>
      </c>
      <c r="Q218" s="1069"/>
      <c r="R218" s="1069"/>
      <c r="S218" s="1129" t="str">
        <f t="shared" ref="S218:S281" si="19">IF(AND(Q218=0,R218=0),"",IF(R218&lt;&gt;0,IF(R218&gt;Q218,"100",R218/Q218*100),0))</f>
        <v/>
      </c>
      <c r="T218" s="1068"/>
      <c r="U218" s="1069"/>
      <c r="V218" s="1267" t="str">
        <f t="shared" ref="V218:V281" si="20">IF(AND(T218=0,U218=0),"",IF(U218&lt;&gt;0,IF(U218&gt;T218,"100",U218/T218*100),0))</f>
        <v/>
      </c>
      <c r="W218" s="1062"/>
      <c r="X218" s="1062"/>
      <c r="Y218" s="1062"/>
      <c r="Z218" s="1062"/>
      <c r="AA218" s="1062"/>
      <c r="AB218" s="1062"/>
      <c r="AC218" s="1062"/>
      <c r="AD218" s="1062"/>
      <c r="AE218" s="1062"/>
      <c r="AF218" s="1062"/>
      <c r="AG218" s="1062"/>
      <c r="AH218" s="1062"/>
      <c r="AI218" s="1062"/>
      <c r="AJ218" s="1062"/>
      <c r="AK218" s="1062"/>
      <c r="AL218" s="1062"/>
      <c r="AM218" s="1062"/>
      <c r="AN218" s="1062"/>
      <c r="AO218" s="1062"/>
      <c r="AP218" s="1062"/>
      <c r="AQ218" s="1062"/>
      <c r="AR218" s="1062"/>
      <c r="AS218" s="1062"/>
      <c r="AT218" s="1062"/>
      <c r="AU218" s="1062"/>
      <c r="AV218" s="1062"/>
      <c r="AW218" s="1062"/>
    </row>
    <row r="219" spans="2:49" x14ac:dyDescent="0.2">
      <c r="B219" s="1078"/>
      <c r="C219" s="1079"/>
      <c r="D219" s="1078"/>
      <c r="E219" s="1081"/>
      <c r="F219" s="1081"/>
      <c r="G219" s="1066"/>
      <c r="H219" s="1069"/>
      <c r="I219" s="1069"/>
      <c r="J219" s="1128" t="str">
        <f t="shared" si="16"/>
        <v/>
      </c>
      <c r="K219" s="1069"/>
      <c r="L219" s="1069"/>
      <c r="M219" s="1129" t="str">
        <f t="shared" si="17"/>
        <v/>
      </c>
      <c r="N219" s="1069"/>
      <c r="O219" s="1069"/>
      <c r="P219" s="1129" t="str">
        <f t="shared" si="18"/>
        <v/>
      </c>
      <c r="Q219" s="1069"/>
      <c r="R219" s="1069"/>
      <c r="S219" s="1129" t="str">
        <f t="shared" si="19"/>
        <v/>
      </c>
      <c r="T219" s="1068"/>
      <c r="U219" s="1069"/>
      <c r="V219" s="1267" t="str">
        <f t="shared" si="20"/>
        <v/>
      </c>
      <c r="W219" s="1062"/>
      <c r="X219" s="1062"/>
      <c r="Y219" s="1062"/>
      <c r="Z219" s="1062"/>
      <c r="AA219" s="1062"/>
      <c r="AB219" s="1062"/>
      <c r="AC219" s="1062"/>
      <c r="AD219" s="1062"/>
      <c r="AE219" s="1062"/>
      <c r="AF219" s="1062"/>
      <c r="AG219" s="1062"/>
      <c r="AH219" s="1062"/>
      <c r="AI219" s="1062"/>
      <c r="AJ219" s="1062"/>
      <c r="AK219" s="1062"/>
      <c r="AL219" s="1062"/>
      <c r="AM219" s="1062"/>
      <c r="AN219" s="1062"/>
      <c r="AO219" s="1062"/>
      <c r="AP219" s="1062"/>
      <c r="AQ219" s="1062"/>
      <c r="AR219" s="1062"/>
      <c r="AS219" s="1062"/>
      <c r="AT219" s="1062"/>
      <c r="AU219" s="1062"/>
      <c r="AV219" s="1062"/>
      <c r="AW219" s="1062"/>
    </row>
    <row r="220" spans="2:49" x14ac:dyDescent="0.2">
      <c r="B220" s="1078"/>
      <c r="C220" s="1079"/>
      <c r="D220" s="1078"/>
      <c r="E220" s="1081"/>
      <c r="F220" s="1081"/>
      <c r="G220" s="1066"/>
      <c r="H220" s="1069"/>
      <c r="I220" s="1069"/>
      <c r="J220" s="1128" t="str">
        <f t="shared" si="16"/>
        <v/>
      </c>
      <c r="K220" s="1069"/>
      <c r="L220" s="1069"/>
      <c r="M220" s="1129" t="str">
        <f t="shared" si="17"/>
        <v/>
      </c>
      <c r="N220" s="1069"/>
      <c r="O220" s="1069"/>
      <c r="P220" s="1129" t="str">
        <f t="shared" si="18"/>
        <v/>
      </c>
      <c r="Q220" s="1069"/>
      <c r="R220" s="1069"/>
      <c r="S220" s="1129" t="str">
        <f t="shared" si="19"/>
        <v/>
      </c>
      <c r="T220" s="1068"/>
      <c r="U220" s="1069"/>
      <c r="V220" s="1267" t="str">
        <f t="shared" si="20"/>
        <v/>
      </c>
      <c r="W220" s="1062"/>
      <c r="X220" s="1062"/>
      <c r="Y220" s="1062"/>
      <c r="Z220" s="1062"/>
      <c r="AA220" s="1062"/>
      <c r="AB220" s="1062"/>
      <c r="AC220" s="1062"/>
      <c r="AD220" s="1062"/>
      <c r="AE220" s="1062"/>
      <c r="AF220" s="1062"/>
      <c r="AG220" s="1062"/>
      <c r="AH220" s="1062"/>
      <c r="AI220" s="1062"/>
      <c r="AJ220" s="1062"/>
      <c r="AK220" s="1062"/>
      <c r="AL220" s="1062"/>
      <c r="AM220" s="1062"/>
      <c r="AN220" s="1062"/>
      <c r="AO220" s="1062"/>
      <c r="AP220" s="1062"/>
      <c r="AQ220" s="1062"/>
      <c r="AR220" s="1062"/>
      <c r="AS220" s="1062"/>
      <c r="AT220" s="1062"/>
      <c r="AU220" s="1062"/>
      <c r="AV220" s="1062"/>
      <c r="AW220" s="1062"/>
    </row>
    <row r="221" spans="2:49" x14ac:dyDescent="0.2">
      <c r="B221" s="1078"/>
      <c r="C221" s="1079"/>
      <c r="D221" s="1078"/>
      <c r="E221" s="1081"/>
      <c r="F221" s="1081"/>
      <c r="G221" s="1066"/>
      <c r="H221" s="1069"/>
      <c r="I221" s="1069"/>
      <c r="J221" s="1128" t="str">
        <f t="shared" si="16"/>
        <v/>
      </c>
      <c r="K221" s="1069"/>
      <c r="L221" s="1069"/>
      <c r="M221" s="1129" t="str">
        <f t="shared" si="17"/>
        <v/>
      </c>
      <c r="N221" s="1069"/>
      <c r="O221" s="1069"/>
      <c r="P221" s="1129" t="str">
        <f t="shared" si="18"/>
        <v/>
      </c>
      <c r="Q221" s="1069"/>
      <c r="R221" s="1069"/>
      <c r="S221" s="1129" t="str">
        <f t="shared" si="19"/>
        <v/>
      </c>
      <c r="T221" s="1068"/>
      <c r="U221" s="1069"/>
      <c r="V221" s="1267" t="str">
        <f t="shared" si="20"/>
        <v/>
      </c>
      <c r="W221" s="1062"/>
      <c r="X221" s="1062"/>
      <c r="Y221" s="1062"/>
      <c r="Z221" s="1062"/>
      <c r="AA221" s="1062"/>
      <c r="AB221" s="1062"/>
      <c r="AC221" s="1062"/>
      <c r="AD221" s="1062"/>
      <c r="AE221" s="1062"/>
      <c r="AF221" s="1062"/>
      <c r="AG221" s="1062"/>
      <c r="AH221" s="1062"/>
      <c r="AI221" s="1062"/>
      <c r="AJ221" s="1062"/>
      <c r="AK221" s="1062"/>
      <c r="AL221" s="1062"/>
      <c r="AM221" s="1062"/>
      <c r="AN221" s="1062"/>
      <c r="AO221" s="1062"/>
      <c r="AP221" s="1062"/>
      <c r="AQ221" s="1062"/>
      <c r="AR221" s="1062"/>
      <c r="AS221" s="1062"/>
      <c r="AT221" s="1062"/>
      <c r="AU221" s="1062"/>
      <c r="AV221" s="1062"/>
      <c r="AW221" s="1062"/>
    </row>
    <row r="222" spans="2:49" x14ac:dyDescent="0.2">
      <c r="B222" s="1078"/>
      <c r="C222" s="1079"/>
      <c r="D222" s="1078"/>
      <c r="E222" s="1081"/>
      <c r="F222" s="1081"/>
      <c r="G222" s="1066"/>
      <c r="H222" s="1069"/>
      <c r="I222" s="1069"/>
      <c r="J222" s="1128" t="str">
        <f t="shared" si="16"/>
        <v/>
      </c>
      <c r="K222" s="1069"/>
      <c r="L222" s="1069"/>
      <c r="M222" s="1129" t="str">
        <f t="shared" si="17"/>
        <v/>
      </c>
      <c r="N222" s="1069"/>
      <c r="O222" s="1069"/>
      <c r="P222" s="1129" t="str">
        <f t="shared" si="18"/>
        <v/>
      </c>
      <c r="Q222" s="1069"/>
      <c r="R222" s="1069"/>
      <c r="S222" s="1129" t="str">
        <f t="shared" si="19"/>
        <v/>
      </c>
      <c r="T222" s="1068"/>
      <c r="U222" s="1069"/>
      <c r="V222" s="1267" t="str">
        <f t="shared" si="20"/>
        <v/>
      </c>
      <c r="W222" s="1062"/>
      <c r="X222" s="1062"/>
      <c r="Y222" s="1062"/>
      <c r="Z222" s="1062"/>
      <c r="AA222" s="1062"/>
      <c r="AB222" s="1062"/>
      <c r="AC222" s="1062"/>
      <c r="AD222" s="1062"/>
      <c r="AE222" s="1062"/>
      <c r="AF222" s="1062"/>
      <c r="AG222" s="1062"/>
      <c r="AH222" s="1062"/>
      <c r="AI222" s="1062"/>
      <c r="AJ222" s="1062"/>
      <c r="AK222" s="1062"/>
      <c r="AL222" s="1062"/>
      <c r="AM222" s="1062"/>
      <c r="AN222" s="1062"/>
      <c r="AO222" s="1062"/>
      <c r="AP222" s="1062"/>
      <c r="AQ222" s="1062"/>
      <c r="AR222" s="1062"/>
      <c r="AS222" s="1062"/>
      <c r="AT222" s="1062"/>
      <c r="AU222" s="1062"/>
      <c r="AV222" s="1062"/>
      <c r="AW222" s="1062"/>
    </row>
    <row r="223" spans="2:49" x14ac:dyDescent="0.2">
      <c r="B223" s="1078"/>
      <c r="C223" s="1079"/>
      <c r="D223" s="1078"/>
      <c r="E223" s="1081"/>
      <c r="F223" s="1081"/>
      <c r="G223" s="1066"/>
      <c r="H223" s="1069"/>
      <c r="I223" s="1069"/>
      <c r="J223" s="1128" t="str">
        <f t="shared" si="16"/>
        <v/>
      </c>
      <c r="K223" s="1069"/>
      <c r="L223" s="1069"/>
      <c r="M223" s="1129" t="str">
        <f t="shared" si="17"/>
        <v/>
      </c>
      <c r="N223" s="1069"/>
      <c r="O223" s="1069"/>
      <c r="P223" s="1129" t="str">
        <f t="shared" si="18"/>
        <v/>
      </c>
      <c r="Q223" s="1069"/>
      <c r="R223" s="1069"/>
      <c r="S223" s="1129" t="str">
        <f t="shared" si="19"/>
        <v/>
      </c>
      <c r="T223" s="1068"/>
      <c r="U223" s="1069"/>
      <c r="V223" s="1267" t="str">
        <f t="shared" si="20"/>
        <v/>
      </c>
      <c r="W223" s="1062"/>
      <c r="X223" s="1062"/>
      <c r="Y223" s="1062"/>
      <c r="Z223" s="1062"/>
      <c r="AA223" s="1062"/>
      <c r="AB223" s="1062"/>
      <c r="AC223" s="1062"/>
      <c r="AD223" s="1062"/>
      <c r="AE223" s="1062"/>
      <c r="AF223" s="1062"/>
      <c r="AG223" s="1062"/>
      <c r="AH223" s="1062"/>
      <c r="AI223" s="1062"/>
      <c r="AJ223" s="1062"/>
      <c r="AK223" s="1062"/>
      <c r="AL223" s="1062"/>
      <c r="AM223" s="1062"/>
      <c r="AN223" s="1062"/>
      <c r="AO223" s="1062"/>
      <c r="AP223" s="1062"/>
      <c r="AQ223" s="1062"/>
      <c r="AR223" s="1062"/>
      <c r="AS223" s="1062"/>
      <c r="AT223" s="1062"/>
      <c r="AU223" s="1062"/>
      <c r="AV223" s="1062"/>
      <c r="AW223" s="1062"/>
    </row>
    <row r="224" spans="2:49" x14ac:dyDescent="0.2">
      <c r="B224" s="1078"/>
      <c r="C224" s="1079"/>
      <c r="D224" s="1078"/>
      <c r="E224" s="1081"/>
      <c r="F224" s="1081"/>
      <c r="G224" s="1066"/>
      <c r="H224" s="1069"/>
      <c r="I224" s="1069"/>
      <c r="J224" s="1128" t="str">
        <f t="shared" si="16"/>
        <v/>
      </c>
      <c r="K224" s="1069"/>
      <c r="L224" s="1069"/>
      <c r="M224" s="1129" t="str">
        <f t="shared" si="17"/>
        <v/>
      </c>
      <c r="N224" s="1069"/>
      <c r="O224" s="1069"/>
      <c r="P224" s="1129" t="str">
        <f t="shared" si="18"/>
        <v/>
      </c>
      <c r="Q224" s="1069"/>
      <c r="R224" s="1069"/>
      <c r="S224" s="1129" t="str">
        <f t="shared" si="19"/>
        <v/>
      </c>
      <c r="T224" s="1068"/>
      <c r="U224" s="1069"/>
      <c r="V224" s="1267" t="str">
        <f t="shared" si="20"/>
        <v/>
      </c>
      <c r="W224" s="1062"/>
      <c r="X224" s="1062"/>
      <c r="Y224" s="1062"/>
      <c r="Z224" s="1062"/>
      <c r="AA224" s="1062"/>
      <c r="AB224" s="1062"/>
      <c r="AC224" s="1062"/>
      <c r="AD224" s="1062"/>
      <c r="AE224" s="1062"/>
      <c r="AF224" s="1062"/>
      <c r="AG224" s="1062"/>
      <c r="AH224" s="1062"/>
      <c r="AI224" s="1062"/>
      <c r="AJ224" s="1062"/>
      <c r="AK224" s="1062"/>
      <c r="AL224" s="1062"/>
      <c r="AM224" s="1062"/>
      <c r="AN224" s="1062"/>
      <c r="AO224" s="1062"/>
      <c r="AP224" s="1062"/>
      <c r="AQ224" s="1062"/>
      <c r="AR224" s="1062"/>
      <c r="AS224" s="1062"/>
      <c r="AT224" s="1062"/>
      <c r="AU224" s="1062"/>
      <c r="AV224" s="1062"/>
      <c r="AW224" s="1062"/>
    </row>
    <row r="225" spans="2:49" x14ac:dyDescent="0.2">
      <c r="B225" s="1078"/>
      <c r="C225" s="1079"/>
      <c r="D225" s="1078"/>
      <c r="E225" s="1081"/>
      <c r="F225" s="1081"/>
      <c r="G225" s="1066"/>
      <c r="H225" s="1069"/>
      <c r="I225" s="1069"/>
      <c r="J225" s="1128" t="str">
        <f t="shared" si="16"/>
        <v/>
      </c>
      <c r="K225" s="1069"/>
      <c r="L225" s="1069"/>
      <c r="M225" s="1129" t="str">
        <f t="shared" si="17"/>
        <v/>
      </c>
      <c r="N225" s="1069"/>
      <c r="O225" s="1069"/>
      <c r="P225" s="1129" t="str">
        <f t="shared" si="18"/>
        <v/>
      </c>
      <c r="Q225" s="1069"/>
      <c r="R225" s="1069"/>
      <c r="S225" s="1129" t="str">
        <f t="shared" si="19"/>
        <v/>
      </c>
      <c r="T225" s="1068"/>
      <c r="U225" s="1069"/>
      <c r="V225" s="1267" t="str">
        <f t="shared" si="20"/>
        <v/>
      </c>
      <c r="W225" s="1062"/>
      <c r="X225" s="1062"/>
      <c r="Y225" s="1062"/>
      <c r="Z225" s="1062"/>
      <c r="AA225" s="1062"/>
      <c r="AB225" s="1062"/>
      <c r="AC225" s="1062"/>
      <c r="AD225" s="1062"/>
      <c r="AE225" s="1062"/>
      <c r="AF225" s="1062"/>
      <c r="AG225" s="1062"/>
      <c r="AH225" s="1062"/>
      <c r="AI225" s="1062"/>
      <c r="AJ225" s="1062"/>
      <c r="AK225" s="1062"/>
      <c r="AL225" s="1062"/>
      <c r="AM225" s="1062"/>
      <c r="AN225" s="1062"/>
      <c r="AO225" s="1062"/>
      <c r="AP225" s="1062"/>
      <c r="AQ225" s="1062"/>
      <c r="AR225" s="1062"/>
      <c r="AS225" s="1062"/>
      <c r="AT225" s="1062"/>
      <c r="AU225" s="1062"/>
      <c r="AV225" s="1062"/>
      <c r="AW225" s="1062"/>
    </row>
    <row r="226" spans="2:49" x14ac:dyDescent="0.2">
      <c r="B226" s="1078"/>
      <c r="C226" s="1079"/>
      <c r="D226" s="1078"/>
      <c r="E226" s="1081"/>
      <c r="F226" s="1081"/>
      <c r="G226" s="1066"/>
      <c r="H226" s="1069"/>
      <c r="I226" s="1069"/>
      <c r="J226" s="1128" t="str">
        <f t="shared" si="16"/>
        <v/>
      </c>
      <c r="K226" s="1069"/>
      <c r="L226" s="1069"/>
      <c r="M226" s="1129" t="str">
        <f t="shared" si="17"/>
        <v/>
      </c>
      <c r="N226" s="1069"/>
      <c r="O226" s="1069"/>
      <c r="P226" s="1129" t="str">
        <f t="shared" si="18"/>
        <v/>
      </c>
      <c r="Q226" s="1069"/>
      <c r="R226" s="1069"/>
      <c r="S226" s="1129" t="str">
        <f t="shared" si="19"/>
        <v/>
      </c>
      <c r="T226" s="1068"/>
      <c r="U226" s="1069"/>
      <c r="V226" s="1267" t="str">
        <f t="shared" si="20"/>
        <v/>
      </c>
      <c r="W226" s="1062"/>
      <c r="X226" s="1062"/>
      <c r="Y226" s="1062"/>
      <c r="Z226" s="1062"/>
      <c r="AA226" s="1062"/>
      <c r="AB226" s="1062"/>
      <c r="AC226" s="1062"/>
      <c r="AD226" s="1062"/>
      <c r="AE226" s="1062"/>
      <c r="AF226" s="1062"/>
      <c r="AG226" s="1062"/>
      <c r="AH226" s="1062"/>
      <c r="AI226" s="1062"/>
      <c r="AJ226" s="1062"/>
      <c r="AK226" s="1062"/>
      <c r="AL226" s="1062"/>
      <c r="AM226" s="1062"/>
      <c r="AN226" s="1062"/>
      <c r="AO226" s="1062"/>
      <c r="AP226" s="1062"/>
      <c r="AQ226" s="1062"/>
      <c r="AR226" s="1062"/>
      <c r="AS226" s="1062"/>
      <c r="AT226" s="1062"/>
      <c r="AU226" s="1062"/>
      <c r="AV226" s="1062"/>
      <c r="AW226" s="1062"/>
    </row>
    <row r="227" spans="2:49" x14ac:dyDescent="0.2">
      <c r="B227" s="1078"/>
      <c r="C227" s="1079"/>
      <c r="D227" s="1078"/>
      <c r="E227" s="1081"/>
      <c r="F227" s="1081"/>
      <c r="G227" s="1066"/>
      <c r="H227" s="1069"/>
      <c r="I227" s="1069"/>
      <c r="J227" s="1128" t="str">
        <f t="shared" si="16"/>
        <v/>
      </c>
      <c r="K227" s="1069"/>
      <c r="L227" s="1069"/>
      <c r="M227" s="1129" t="str">
        <f t="shared" si="17"/>
        <v/>
      </c>
      <c r="N227" s="1069"/>
      <c r="O227" s="1069"/>
      <c r="P227" s="1129" t="str">
        <f t="shared" si="18"/>
        <v/>
      </c>
      <c r="Q227" s="1069"/>
      <c r="R227" s="1069"/>
      <c r="S227" s="1129" t="str">
        <f t="shared" si="19"/>
        <v/>
      </c>
      <c r="T227" s="1068"/>
      <c r="U227" s="1069"/>
      <c r="V227" s="1267" t="str">
        <f t="shared" si="20"/>
        <v/>
      </c>
      <c r="W227" s="1062"/>
      <c r="X227" s="1062"/>
      <c r="Y227" s="1062"/>
      <c r="Z227" s="1062"/>
      <c r="AA227" s="1062"/>
      <c r="AB227" s="1062"/>
      <c r="AC227" s="1062"/>
      <c r="AD227" s="1062"/>
      <c r="AE227" s="1062"/>
      <c r="AF227" s="1062"/>
      <c r="AG227" s="1062"/>
      <c r="AH227" s="1062"/>
      <c r="AI227" s="1062"/>
      <c r="AJ227" s="1062"/>
      <c r="AK227" s="1062"/>
      <c r="AL227" s="1062"/>
      <c r="AM227" s="1062"/>
      <c r="AN227" s="1062"/>
      <c r="AO227" s="1062"/>
      <c r="AP227" s="1062"/>
      <c r="AQ227" s="1062"/>
      <c r="AR227" s="1062"/>
      <c r="AS227" s="1062"/>
      <c r="AT227" s="1062"/>
      <c r="AU227" s="1062"/>
      <c r="AV227" s="1062"/>
      <c r="AW227" s="1062"/>
    </row>
    <row r="228" spans="2:49" x14ac:dyDescent="0.2">
      <c r="B228" s="1078"/>
      <c r="C228" s="1079"/>
      <c r="D228" s="1078"/>
      <c r="E228" s="1081"/>
      <c r="F228" s="1081"/>
      <c r="G228" s="1066"/>
      <c r="H228" s="1069"/>
      <c r="I228" s="1069"/>
      <c r="J228" s="1128" t="str">
        <f t="shared" si="16"/>
        <v/>
      </c>
      <c r="K228" s="1069"/>
      <c r="L228" s="1069"/>
      <c r="M228" s="1129" t="str">
        <f t="shared" si="17"/>
        <v/>
      </c>
      <c r="N228" s="1069"/>
      <c r="O228" s="1069"/>
      <c r="P228" s="1129" t="str">
        <f t="shared" si="18"/>
        <v/>
      </c>
      <c r="Q228" s="1069"/>
      <c r="R228" s="1069"/>
      <c r="S228" s="1129" t="str">
        <f t="shared" si="19"/>
        <v/>
      </c>
      <c r="T228" s="1068"/>
      <c r="U228" s="1069"/>
      <c r="V228" s="1267" t="str">
        <f t="shared" si="20"/>
        <v/>
      </c>
      <c r="W228" s="1062"/>
      <c r="X228" s="1062"/>
      <c r="Y228" s="1062"/>
      <c r="Z228" s="1062"/>
      <c r="AA228" s="1062"/>
      <c r="AB228" s="1062"/>
      <c r="AC228" s="1062"/>
      <c r="AD228" s="1062"/>
      <c r="AE228" s="1062"/>
      <c r="AF228" s="1062"/>
      <c r="AG228" s="1062"/>
      <c r="AH228" s="1062"/>
      <c r="AI228" s="1062"/>
      <c r="AJ228" s="1062"/>
      <c r="AK228" s="1062"/>
      <c r="AL228" s="1062"/>
      <c r="AM228" s="1062"/>
      <c r="AN228" s="1062"/>
      <c r="AO228" s="1062"/>
      <c r="AP228" s="1062"/>
      <c r="AQ228" s="1062"/>
      <c r="AR228" s="1062"/>
      <c r="AS228" s="1062"/>
      <c r="AT228" s="1062"/>
      <c r="AU228" s="1062"/>
      <c r="AV228" s="1062"/>
      <c r="AW228" s="1062"/>
    </row>
    <row r="229" spans="2:49" x14ac:dyDescent="0.2">
      <c r="B229" s="1078"/>
      <c r="C229" s="1079"/>
      <c r="D229" s="1078"/>
      <c r="E229" s="1081"/>
      <c r="F229" s="1081"/>
      <c r="G229" s="1066"/>
      <c r="H229" s="1069"/>
      <c r="I229" s="1069"/>
      <c r="J229" s="1128" t="str">
        <f t="shared" si="16"/>
        <v/>
      </c>
      <c r="K229" s="1069"/>
      <c r="L229" s="1069"/>
      <c r="M229" s="1129" t="str">
        <f t="shared" si="17"/>
        <v/>
      </c>
      <c r="N229" s="1069"/>
      <c r="O229" s="1069"/>
      <c r="P229" s="1129" t="str">
        <f t="shared" si="18"/>
        <v/>
      </c>
      <c r="Q229" s="1069"/>
      <c r="R229" s="1069"/>
      <c r="S229" s="1129" t="str">
        <f t="shared" si="19"/>
        <v/>
      </c>
      <c r="T229" s="1068"/>
      <c r="U229" s="1069"/>
      <c r="V229" s="1267" t="str">
        <f t="shared" si="20"/>
        <v/>
      </c>
      <c r="W229" s="1062"/>
      <c r="X229" s="1062"/>
      <c r="Y229" s="1062"/>
      <c r="Z229" s="1062"/>
      <c r="AA229" s="1062"/>
      <c r="AB229" s="1062"/>
      <c r="AC229" s="1062"/>
      <c r="AD229" s="1062"/>
      <c r="AE229" s="1062"/>
      <c r="AF229" s="1062"/>
      <c r="AG229" s="1062"/>
      <c r="AH229" s="1062"/>
      <c r="AI229" s="1062"/>
      <c r="AJ229" s="1062"/>
      <c r="AK229" s="1062"/>
      <c r="AL229" s="1062"/>
      <c r="AM229" s="1062"/>
      <c r="AN229" s="1062"/>
      <c r="AO229" s="1062"/>
      <c r="AP229" s="1062"/>
      <c r="AQ229" s="1062"/>
      <c r="AR229" s="1062"/>
      <c r="AS229" s="1062"/>
      <c r="AT229" s="1062"/>
      <c r="AU229" s="1062"/>
      <c r="AV229" s="1062"/>
      <c r="AW229" s="1062"/>
    </row>
    <row r="230" spans="2:49" x14ac:dyDescent="0.2">
      <c r="B230" s="1078"/>
      <c r="C230" s="1079"/>
      <c r="D230" s="1078"/>
      <c r="E230" s="1081"/>
      <c r="F230" s="1081"/>
      <c r="G230" s="1066"/>
      <c r="H230" s="1069"/>
      <c r="I230" s="1069"/>
      <c r="J230" s="1128" t="str">
        <f t="shared" si="16"/>
        <v/>
      </c>
      <c r="K230" s="1069"/>
      <c r="L230" s="1069"/>
      <c r="M230" s="1129" t="str">
        <f t="shared" si="17"/>
        <v/>
      </c>
      <c r="N230" s="1069"/>
      <c r="O230" s="1069"/>
      <c r="P230" s="1129" t="str">
        <f t="shared" si="18"/>
        <v/>
      </c>
      <c r="Q230" s="1069"/>
      <c r="R230" s="1069"/>
      <c r="S230" s="1129" t="str">
        <f t="shared" si="19"/>
        <v/>
      </c>
      <c r="T230" s="1068"/>
      <c r="U230" s="1069"/>
      <c r="V230" s="1267" t="str">
        <f t="shared" si="20"/>
        <v/>
      </c>
      <c r="W230" s="1062"/>
      <c r="X230" s="1062"/>
      <c r="Y230" s="1062"/>
      <c r="Z230" s="1062"/>
      <c r="AA230" s="1062"/>
      <c r="AB230" s="1062"/>
      <c r="AC230" s="1062"/>
      <c r="AD230" s="1062"/>
      <c r="AE230" s="1062"/>
      <c r="AF230" s="1062"/>
      <c r="AG230" s="1062"/>
      <c r="AH230" s="1062"/>
      <c r="AI230" s="1062"/>
      <c r="AJ230" s="1062"/>
      <c r="AK230" s="1062"/>
      <c r="AL230" s="1062"/>
      <c r="AM230" s="1062"/>
      <c r="AN230" s="1062"/>
      <c r="AO230" s="1062"/>
      <c r="AP230" s="1062"/>
      <c r="AQ230" s="1062"/>
      <c r="AR230" s="1062"/>
      <c r="AS230" s="1062"/>
      <c r="AT230" s="1062"/>
      <c r="AU230" s="1062"/>
      <c r="AV230" s="1062"/>
      <c r="AW230" s="1062"/>
    </row>
    <row r="231" spans="2:49" x14ac:dyDescent="0.2">
      <c r="B231" s="1078"/>
      <c r="C231" s="1079"/>
      <c r="D231" s="1078"/>
      <c r="E231" s="1081"/>
      <c r="F231" s="1081"/>
      <c r="G231" s="1066"/>
      <c r="H231" s="1069"/>
      <c r="I231" s="1069"/>
      <c r="J231" s="1128" t="str">
        <f t="shared" si="16"/>
        <v/>
      </c>
      <c r="K231" s="1069"/>
      <c r="L231" s="1069"/>
      <c r="M231" s="1129" t="str">
        <f t="shared" si="17"/>
        <v/>
      </c>
      <c r="N231" s="1069"/>
      <c r="O231" s="1069"/>
      <c r="P231" s="1129" t="str">
        <f t="shared" si="18"/>
        <v/>
      </c>
      <c r="Q231" s="1069"/>
      <c r="R231" s="1069"/>
      <c r="S231" s="1129" t="str">
        <f t="shared" si="19"/>
        <v/>
      </c>
      <c r="T231" s="1068"/>
      <c r="U231" s="1069"/>
      <c r="V231" s="1267" t="str">
        <f t="shared" si="20"/>
        <v/>
      </c>
      <c r="W231" s="1062"/>
      <c r="X231" s="1062"/>
      <c r="Y231" s="1062"/>
      <c r="Z231" s="1062"/>
      <c r="AA231" s="1062"/>
      <c r="AB231" s="1062"/>
      <c r="AC231" s="1062"/>
      <c r="AD231" s="1062"/>
      <c r="AE231" s="1062"/>
      <c r="AF231" s="1062"/>
      <c r="AG231" s="1062"/>
      <c r="AH231" s="1062"/>
      <c r="AI231" s="1062"/>
      <c r="AJ231" s="1062"/>
      <c r="AK231" s="1062"/>
      <c r="AL231" s="1062"/>
      <c r="AM231" s="1062"/>
      <c r="AN231" s="1062"/>
      <c r="AO231" s="1062"/>
      <c r="AP231" s="1062"/>
      <c r="AQ231" s="1062"/>
      <c r="AR231" s="1062"/>
      <c r="AS231" s="1062"/>
      <c r="AT231" s="1062"/>
      <c r="AU231" s="1062"/>
      <c r="AV231" s="1062"/>
      <c r="AW231" s="1062"/>
    </row>
    <row r="232" spans="2:49" x14ac:dyDescent="0.2">
      <c r="B232" s="1078"/>
      <c r="C232" s="1079"/>
      <c r="D232" s="1078"/>
      <c r="E232" s="1081"/>
      <c r="F232" s="1081"/>
      <c r="G232" s="1066"/>
      <c r="H232" s="1069"/>
      <c r="I232" s="1069"/>
      <c r="J232" s="1128" t="str">
        <f t="shared" si="16"/>
        <v/>
      </c>
      <c r="K232" s="1069"/>
      <c r="L232" s="1069"/>
      <c r="M232" s="1129" t="str">
        <f t="shared" si="17"/>
        <v/>
      </c>
      <c r="N232" s="1069"/>
      <c r="O232" s="1069"/>
      <c r="P232" s="1129" t="str">
        <f t="shared" si="18"/>
        <v/>
      </c>
      <c r="Q232" s="1069"/>
      <c r="R232" s="1069"/>
      <c r="S232" s="1129" t="str">
        <f t="shared" si="19"/>
        <v/>
      </c>
      <c r="T232" s="1068"/>
      <c r="U232" s="1069"/>
      <c r="V232" s="1267" t="str">
        <f t="shared" si="20"/>
        <v/>
      </c>
      <c r="W232" s="1062"/>
      <c r="X232" s="1062"/>
      <c r="Y232" s="1062"/>
      <c r="Z232" s="1062"/>
      <c r="AA232" s="1062"/>
      <c r="AB232" s="1062"/>
      <c r="AC232" s="1062"/>
      <c r="AD232" s="1062"/>
      <c r="AE232" s="1062"/>
      <c r="AF232" s="1062"/>
      <c r="AG232" s="1062"/>
      <c r="AH232" s="1062"/>
      <c r="AI232" s="1062"/>
      <c r="AJ232" s="1062"/>
      <c r="AK232" s="1062"/>
      <c r="AL232" s="1062"/>
      <c r="AM232" s="1062"/>
      <c r="AN232" s="1062"/>
      <c r="AO232" s="1062"/>
      <c r="AP232" s="1062"/>
      <c r="AQ232" s="1062"/>
      <c r="AR232" s="1062"/>
      <c r="AS232" s="1062"/>
      <c r="AT232" s="1062"/>
      <c r="AU232" s="1062"/>
      <c r="AV232" s="1062"/>
      <c r="AW232" s="1062"/>
    </row>
    <row r="233" spans="2:49" x14ac:dyDescent="0.2">
      <c r="B233" s="1078"/>
      <c r="C233" s="1079"/>
      <c r="D233" s="1078"/>
      <c r="E233" s="1081"/>
      <c r="F233" s="1081"/>
      <c r="G233" s="1066"/>
      <c r="H233" s="1069"/>
      <c r="I233" s="1069"/>
      <c r="J233" s="1128" t="str">
        <f t="shared" si="16"/>
        <v/>
      </c>
      <c r="K233" s="1069"/>
      <c r="L233" s="1069"/>
      <c r="M233" s="1129" t="str">
        <f t="shared" si="17"/>
        <v/>
      </c>
      <c r="N233" s="1069"/>
      <c r="O233" s="1069"/>
      <c r="P233" s="1129" t="str">
        <f t="shared" si="18"/>
        <v/>
      </c>
      <c r="Q233" s="1069"/>
      <c r="R233" s="1069"/>
      <c r="S233" s="1129" t="str">
        <f t="shared" si="19"/>
        <v/>
      </c>
      <c r="T233" s="1068"/>
      <c r="U233" s="1069"/>
      <c r="V233" s="1267" t="str">
        <f t="shared" si="20"/>
        <v/>
      </c>
      <c r="W233" s="1062"/>
      <c r="X233" s="1062"/>
      <c r="Y233" s="1062"/>
      <c r="Z233" s="1062"/>
      <c r="AA233" s="1062"/>
      <c r="AB233" s="1062"/>
      <c r="AC233" s="1062"/>
      <c r="AD233" s="1062"/>
      <c r="AE233" s="1062"/>
      <c r="AF233" s="1062"/>
      <c r="AG233" s="1062"/>
      <c r="AH233" s="1062"/>
      <c r="AI233" s="1062"/>
      <c r="AJ233" s="1062"/>
      <c r="AK233" s="1062"/>
      <c r="AL233" s="1062"/>
      <c r="AM233" s="1062"/>
      <c r="AN233" s="1062"/>
      <c r="AO233" s="1062"/>
      <c r="AP233" s="1062"/>
      <c r="AQ233" s="1062"/>
      <c r="AR233" s="1062"/>
      <c r="AS233" s="1062"/>
      <c r="AT233" s="1062"/>
      <c r="AU233" s="1062"/>
      <c r="AV233" s="1062"/>
      <c r="AW233" s="1062"/>
    </row>
    <row r="234" spans="2:49" x14ac:dyDescent="0.2">
      <c r="B234" s="1078"/>
      <c r="C234" s="1079"/>
      <c r="D234" s="1078"/>
      <c r="E234" s="1081"/>
      <c r="F234" s="1081"/>
      <c r="G234" s="1066"/>
      <c r="H234" s="1069"/>
      <c r="I234" s="1069"/>
      <c r="J234" s="1128" t="str">
        <f t="shared" si="16"/>
        <v/>
      </c>
      <c r="K234" s="1069"/>
      <c r="L234" s="1069"/>
      <c r="M234" s="1129" t="str">
        <f t="shared" si="17"/>
        <v/>
      </c>
      <c r="N234" s="1069"/>
      <c r="O234" s="1069"/>
      <c r="P234" s="1129" t="str">
        <f t="shared" si="18"/>
        <v/>
      </c>
      <c r="Q234" s="1069"/>
      <c r="R234" s="1069"/>
      <c r="S234" s="1129" t="str">
        <f t="shared" si="19"/>
        <v/>
      </c>
      <c r="T234" s="1068"/>
      <c r="U234" s="1069"/>
      <c r="V234" s="1267" t="str">
        <f t="shared" si="20"/>
        <v/>
      </c>
      <c r="W234" s="1062"/>
      <c r="X234" s="1062"/>
      <c r="Y234" s="1062"/>
      <c r="Z234" s="1062"/>
      <c r="AA234" s="1062"/>
      <c r="AB234" s="1062"/>
      <c r="AC234" s="1062"/>
      <c r="AD234" s="1062"/>
      <c r="AE234" s="1062"/>
      <c r="AF234" s="1062"/>
      <c r="AG234" s="1062"/>
      <c r="AH234" s="1062"/>
      <c r="AI234" s="1062"/>
      <c r="AJ234" s="1062"/>
      <c r="AK234" s="1062"/>
      <c r="AL234" s="1062"/>
      <c r="AM234" s="1062"/>
      <c r="AN234" s="1062"/>
      <c r="AO234" s="1062"/>
      <c r="AP234" s="1062"/>
      <c r="AQ234" s="1062"/>
      <c r="AR234" s="1062"/>
      <c r="AS234" s="1062"/>
      <c r="AT234" s="1062"/>
      <c r="AU234" s="1062"/>
      <c r="AV234" s="1062"/>
      <c r="AW234" s="1062"/>
    </row>
    <row r="235" spans="2:49" x14ac:dyDescent="0.2">
      <c r="B235" s="1078"/>
      <c r="C235" s="1079"/>
      <c r="D235" s="1078"/>
      <c r="E235" s="1081"/>
      <c r="F235" s="1081"/>
      <c r="G235" s="1066"/>
      <c r="H235" s="1069"/>
      <c r="I235" s="1069"/>
      <c r="J235" s="1128" t="str">
        <f t="shared" si="16"/>
        <v/>
      </c>
      <c r="K235" s="1069"/>
      <c r="L235" s="1069"/>
      <c r="M235" s="1129" t="str">
        <f t="shared" si="17"/>
        <v/>
      </c>
      <c r="N235" s="1069"/>
      <c r="O235" s="1069"/>
      <c r="P235" s="1129" t="str">
        <f t="shared" si="18"/>
        <v/>
      </c>
      <c r="Q235" s="1069"/>
      <c r="R235" s="1069"/>
      <c r="S235" s="1129" t="str">
        <f t="shared" si="19"/>
        <v/>
      </c>
      <c r="T235" s="1068"/>
      <c r="U235" s="1069"/>
      <c r="V235" s="1267" t="str">
        <f t="shared" si="20"/>
        <v/>
      </c>
      <c r="W235" s="1062"/>
      <c r="X235" s="1062"/>
      <c r="Y235" s="1062"/>
      <c r="Z235" s="1062"/>
      <c r="AA235" s="1062"/>
      <c r="AB235" s="1062"/>
      <c r="AC235" s="1062"/>
      <c r="AD235" s="1062"/>
      <c r="AE235" s="1062"/>
      <c r="AF235" s="1062"/>
      <c r="AG235" s="1062"/>
      <c r="AH235" s="1062"/>
      <c r="AI235" s="1062"/>
      <c r="AJ235" s="1062"/>
      <c r="AK235" s="1062"/>
      <c r="AL235" s="1062"/>
      <c r="AM235" s="1062"/>
      <c r="AN235" s="1062"/>
      <c r="AO235" s="1062"/>
      <c r="AP235" s="1062"/>
      <c r="AQ235" s="1062"/>
      <c r="AR235" s="1062"/>
      <c r="AS235" s="1062"/>
      <c r="AT235" s="1062"/>
      <c r="AU235" s="1062"/>
      <c r="AV235" s="1062"/>
      <c r="AW235" s="1062"/>
    </row>
    <row r="236" spans="2:49" x14ac:dyDescent="0.2">
      <c r="B236" s="1078"/>
      <c r="C236" s="1079"/>
      <c r="D236" s="1078"/>
      <c r="E236" s="1081"/>
      <c r="F236" s="1081"/>
      <c r="G236" s="1066"/>
      <c r="H236" s="1069"/>
      <c r="I236" s="1069"/>
      <c r="J236" s="1128" t="str">
        <f t="shared" si="16"/>
        <v/>
      </c>
      <c r="K236" s="1069"/>
      <c r="L236" s="1069"/>
      <c r="M236" s="1129" t="str">
        <f t="shared" si="17"/>
        <v/>
      </c>
      <c r="N236" s="1069"/>
      <c r="O236" s="1069"/>
      <c r="P236" s="1129" t="str">
        <f t="shared" si="18"/>
        <v/>
      </c>
      <c r="Q236" s="1069"/>
      <c r="R236" s="1069"/>
      <c r="S236" s="1129" t="str">
        <f t="shared" si="19"/>
        <v/>
      </c>
      <c r="T236" s="1068"/>
      <c r="U236" s="1069"/>
      <c r="V236" s="1267" t="str">
        <f t="shared" si="20"/>
        <v/>
      </c>
      <c r="W236" s="1062"/>
      <c r="X236" s="1062"/>
      <c r="Y236" s="1062"/>
      <c r="Z236" s="1062"/>
      <c r="AA236" s="1062"/>
      <c r="AB236" s="1062"/>
      <c r="AC236" s="1062"/>
      <c r="AD236" s="1062"/>
      <c r="AE236" s="1062"/>
      <c r="AF236" s="1062"/>
      <c r="AG236" s="1062"/>
      <c r="AH236" s="1062"/>
      <c r="AI236" s="1062"/>
      <c r="AJ236" s="1062"/>
      <c r="AK236" s="1062"/>
      <c r="AL236" s="1062"/>
      <c r="AM236" s="1062"/>
      <c r="AN236" s="1062"/>
      <c r="AO236" s="1062"/>
      <c r="AP236" s="1062"/>
      <c r="AQ236" s="1062"/>
      <c r="AR236" s="1062"/>
      <c r="AS236" s="1062"/>
      <c r="AT236" s="1062"/>
      <c r="AU236" s="1062"/>
      <c r="AV236" s="1062"/>
      <c r="AW236" s="1062"/>
    </row>
    <row r="237" spans="2:49" x14ac:dyDescent="0.2">
      <c r="B237" s="1078"/>
      <c r="C237" s="1079"/>
      <c r="D237" s="1078"/>
      <c r="E237" s="1081"/>
      <c r="F237" s="1081"/>
      <c r="G237" s="1066"/>
      <c r="H237" s="1069"/>
      <c r="I237" s="1069"/>
      <c r="J237" s="1128" t="str">
        <f t="shared" si="16"/>
        <v/>
      </c>
      <c r="K237" s="1069"/>
      <c r="L237" s="1069"/>
      <c r="M237" s="1129" t="str">
        <f t="shared" si="17"/>
        <v/>
      </c>
      <c r="N237" s="1069"/>
      <c r="O237" s="1069"/>
      <c r="P237" s="1129" t="str">
        <f t="shared" si="18"/>
        <v/>
      </c>
      <c r="Q237" s="1069"/>
      <c r="R237" s="1069"/>
      <c r="S237" s="1129" t="str">
        <f t="shared" si="19"/>
        <v/>
      </c>
      <c r="T237" s="1068"/>
      <c r="U237" s="1069"/>
      <c r="V237" s="1267" t="str">
        <f t="shared" si="20"/>
        <v/>
      </c>
      <c r="W237" s="1062"/>
      <c r="X237" s="1062"/>
      <c r="Y237" s="1062"/>
      <c r="Z237" s="1062"/>
      <c r="AA237" s="1062"/>
      <c r="AB237" s="1062"/>
      <c r="AC237" s="1062"/>
      <c r="AD237" s="1062"/>
      <c r="AE237" s="1062"/>
      <c r="AF237" s="1062"/>
      <c r="AG237" s="1062"/>
      <c r="AH237" s="1062"/>
      <c r="AI237" s="1062"/>
      <c r="AJ237" s="1062"/>
      <c r="AK237" s="1062"/>
      <c r="AL237" s="1062"/>
      <c r="AM237" s="1062"/>
      <c r="AN237" s="1062"/>
      <c r="AO237" s="1062"/>
      <c r="AP237" s="1062"/>
      <c r="AQ237" s="1062"/>
      <c r="AR237" s="1062"/>
      <c r="AS237" s="1062"/>
      <c r="AT237" s="1062"/>
      <c r="AU237" s="1062"/>
      <c r="AV237" s="1062"/>
      <c r="AW237" s="1062"/>
    </row>
    <row r="238" spans="2:49" x14ac:dyDescent="0.2">
      <c r="B238" s="1078"/>
      <c r="C238" s="1079"/>
      <c r="D238" s="1078"/>
      <c r="E238" s="1081"/>
      <c r="F238" s="1081"/>
      <c r="G238" s="1066"/>
      <c r="H238" s="1069"/>
      <c r="I238" s="1069"/>
      <c r="J238" s="1128" t="str">
        <f t="shared" si="16"/>
        <v/>
      </c>
      <c r="K238" s="1069"/>
      <c r="L238" s="1069"/>
      <c r="M238" s="1129" t="str">
        <f t="shared" si="17"/>
        <v/>
      </c>
      <c r="N238" s="1069"/>
      <c r="O238" s="1069"/>
      <c r="P238" s="1129" t="str">
        <f t="shared" si="18"/>
        <v/>
      </c>
      <c r="Q238" s="1069"/>
      <c r="R238" s="1069"/>
      <c r="S238" s="1129" t="str">
        <f t="shared" si="19"/>
        <v/>
      </c>
      <c r="T238" s="1068"/>
      <c r="U238" s="1069"/>
      <c r="V238" s="1267" t="str">
        <f t="shared" si="20"/>
        <v/>
      </c>
      <c r="W238" s="1062"/>
      <c r="X238" s="1062"/>
      <c r="Y238" s="1062"/>
      <c r="Z238" s="1062"/>
      <c r="AA238" s="1062"/>
      <c r="AB238" s="1062"/>
      <c r="AC238" s="1062"/>
      <c r="AD238" s="1062"/>
      <c r="AE238" s="1062"/>
      <c r="AF238" s="1062"/>
      <c r="AG238" s="1062"/>
      <c r="AH238" s="1062"/>
      <c r="AI238" s="1062"/>
      <c r="AJ238" s="1062"/>
      <c r="AK238" s="1062"/>
      <c r="AL238" s="1062"/>
      <c r="AM238" s="1062"/>
      <c r="AN238" s="1062"/>
      <c r="AO238" s="1062"/>
      <c r="AP238" s="1062"/>
      <c r="AQ238" s="1062"/>
      <c r="AR238" s="1062"/>
      <c r="AS238" s="1062"/>
      <c r="AT238" s="1062"/>
      <c r="AU238" s="1062"/>
      <c r="AV238" s="1062"/>
      <c r="AW238" s="1062"/>
    </row>
    <row r="239" spans="2:49" x14ac:dyDescent="0.2">
      <c r="B239" s="1078"/>
      <c r="C239" s="1079"/>
      <c r="D239" s="1078"/>
      <c r="E239" s="1081"/>
      <c r="F239" s="1081"/>
      <c r="G239" s="1066"/>
      <c r="H239" s="1069"/>
      <c r="I239" s="1069"/>
      <c r="J239" s="1128" t="str">
        <f t="shared" si="16"/>
        <v/>
      </c>
      <c r="K239" s="1069"/>
      <c r="L239" s="1069"/>
      <c r="M239" s="1129" t="str">
        <f t="shared" si="17"/>
        <v/>
      </c>
      <c r="N239" s="1069"/>
      <c r="O239" s="1069"/>
      <c r="P239" s="1129" t="str">
        <f t="shared" si="18"/>
        <v/>
      </c>
      <c r="Q239" s="1069"/>
      <c r="R239" s="1069"/>
      <c r="S239" s="1129" t="str">
        <f t="shared" si="19"/>
        <v/>
      </c>
      <c r="T239" s="1068"/>
      <c r="U239" s="1069"/>
      <c r="V239" s="1267" t="str">
        <f t="shared" si="20"/>
        <v/>
      </c>
      <c r="W239" s="1062"/>
      <c r="X239" s="1062"/>
      <c r="Y239" s="1062"/>
      <c r="Z239" s="1062"/>
      <c r="AA239" s="1062"/>
      <c r="AB239" s="1062"/>
      <c r="AC239" s="1062"/>
      <c r="AD239" s="1062"/>
      <c r="AE239" s="1062"/>
      <c r="AF239" s="1062"/>
      <c r="AG239" s="1062"/>
      <c r="AH239" s="1062"/>
      <c r="AI239" s="1062"/>
      <c r="AJ239" s="1062"/>
      <c r="AK239" s="1062"/>
      <c r="AL239" s="1062"/>
      <c r="AM239" s="1062"/>
      <c r="AN239" s="1062"/>
      <c r="AO239" s="1062"/>
      <c r="AP239" s="1062"/>
      <c r="AQ239" s="1062"/>
      <c r="AR239" s="1062"/>
      <c r="AS239" s="1062"/>
      <c r="AT239" s="1062"/>
      <c r="AU239" s="1062"/>
      <c r="AV239" s="1062"/>
      <c r="AW239" s="1062"/>
    </row>
    <row r="240" spans="2:49" x14ac:dyDescent="0.2">
      <c r="B240" s="1078"/>
      <c r="C240" s="1079"/>
      <c r="D240" s="1078"/>
      <c r="E240" s="1081"/>
      <c r="F240" s="1081"/>
      <c r="G240" s="1066"/>
      <c r="H240" s="1069"/>
      <c r="I240" s="1069"/>
      <c r="J240" s="1128" t="str">
        <f t="shared" si="16"/>
        <v/>
      </c>
      <c r="K240" s="1069"/>
      <c r="L240" s="1069"/>
      <c r="M240" s="1129" t="str">
        <f t="shared" si="17"/>
        <v/>
      </c>
      <c r="N240" s="1069"/>
      <c r="O240" s="1069"/>
      <c r="P240" s="1129" t="str">
        <f t="shared" si="18"/>
        <v/>
      </c>
      <c r="Q240" s="1069"/>
      <c r="R240" s="1069"/>
      <c r="S240" s="1129" t="str">
        <f t="shared" si="19"/>
        <v/>
      </c>
      <c r="T240" s="1068"/>
      <c r="U240" s="1069"/>
      <c r="V240" s="1267" t="str">
        <f t="shared" si="20"/>
        <v/>
      </c>
      <c r="W240" s="1062"/>
      <c r="X240" s="1062"/>
      <c r="Y240" s="1062"/>
      <c r="Z240" s="1062"/>
      <c r="AA240" s="1062"/>
      <c r="AB240" s="1062"/>
      <c r="AC240" s="1062"/>
      <c r="AD240" s="1062"/>
      <c r="AE240" s="1062"/>
      <c r="AF240" s="1062"/>
      <c r="AG240" s="1062"/>
      <c r="AH240" s="1062"/>
      <c r="AI240" s="1062"/>
      <c r="AJ240" s="1062"/>
      <c r="AK240" s="1062"/>
      <c r="AL240" s="1062"/>
      <c r="AM240" s="1062"/>
      <c r="AN240" s="1062"/>
      <c r="AO240" s="1062"/>
      <c r="AP240" s="1062"/>
      <c r="AQ240" s="1062"/>
      <c r="AR240" s="1062"/>
      <c r="AS240" s="1062"/>
      <c r="AT240" s="1062"/>
      <c r="AU240" s="1062"/>
      <c r="AV240" s="1062"/>
      <c r="AW240" s="1062"/>
    </row>
    <row r="241" spans="2:49" x14ac:dyDescent="0.2">
      <c r="B241" s="1078"/>
      <c r="C241" s="1079"/>
      <c r="D241" s="1078"/>
      <c r="E241" s="1081"/>
      <c r="F241" s="1081"/>
      <c r="G241" s="1066"/>
      <c r="H241" s="1069"/>
      <c r="I241" s="1069"/>
      <c r="J241" s="1128" t="str">
        <f t="shared" si="16"/>
        <v/>
      </c>
      <c r="K241" s="1069"/>
      <c r="L241" s="1069"/>
      <c r="M241" s="1129" t="str">
        <f t="shared" si="17"/>
        <v/>
      </c>
      <c r="N241" s="1069"/>
      <c r="O241" s="1069"/>
      <c r="P241" s="1129" t="str">
        <f t="shared" si="18"/>
        <v/>
      </c>
      <c r="Q241" s="1069"/>
      <c r="R241" s="1069"/>
      <c r="S241" s="1129" t="str">
        <f t="shared" si="19"/>
        <v/>
      </c>
      <c r="T241" s="1068"/>
      <c r="U241" s="1069"/>
      <c r="V241" s="1267" t="str">
        <f t="shared" si="20"/>
        <v/>
      </c>
      <c r="W241" s="1062"/>
      <c r="X241" s="1062"/>
      <c r="Y241" s="1062"/>
      <c r="Z241" s="1062"/>
      <c r="AA241" s="1062"/>
      <c r="AB241" s="1062"/>
      <c r="AC241" s="1062"/>
      <c r="AD241" s="1062"/>
      <c r="AE241" s="1062"/>
      <c r="AF241" s="1062"/>
      <c r="AG241" s="1062"/>
      <c r="AH241" s="1062"/>
      <c r="AI241" s="1062"/>
      <c r="AJ241" s="1062"/>
      <c r="AK241" s="1062"/>
      <c r="AL241" s="1062"/>
      <c r="AM241" s="1062"/>
      <c r="AN241" s="1062"/>
      <c r="AO241" s="1062"/>
      <c r="AP241" s="1062"/>
      <c r="AQ241" s="1062"/>
      <c r="AR241" s="1062"/>
      <c r="AS241" s="1062"/>
      <c r="AT241" s="1062"/>
      <c r="AU241" s="1062"/>
      <c r="AV241" s="1062"/>
      <c r="AW241" s="1062"/>
    </row>
    <row r="242" spans="2:49" x14ac:dyDescent="0.2">
      <c r="B242" s="1078"/>
      <c r="C242" s="1079"/>
      <c r="D242" s="1078"/>
      <c r="E242" s="1081"/>
      <c r="F242" s="1081"/>
      <c r="G242" s="1066"/>
      <c r="H242" s="1069"/>
      <c r="I242" s="1069"/>
      <c r="J242" s="1128" t="str">
        <f t="shared" si="16"/>
        <v/>
      </c>
      <c r="K242" s="1069"/>
      <c r="L242" s="1069"/>
      <c r="M242" s="1129" t="str">
        <f t="shared" si="17"/>
        <v/>
      </c>
      <c r="N242" s="1069"/>
      <c r="O242" s="1069"/>
      <c r="P242" s="1129" t="str">
        <f t="shared" si="18"/>
        <v/>
      </c>
      <c r="Q242" s="1069"/>
      <c r="R242" s="1069"/>
      <c r="S242" s="1129" t="str">
        <f t="shared" si="19"/>
        <v/>
      </c>
      <c r="T242" s="1068"/>
      <c r="U242" s="1069"/>
      <c r="V242" s="1267" t="str">
        <f t="shared" si="20"/>
        <v/>
      </c>
      <c r="W242" s="1062"/>
      <c r="X242" s="1062"/>
      <c r="Y242" s="1062"/>
      <c r="Z242" s="1062"/>
      <c r="AA242" s="1062"/>
      <c r="AB242" s="1062"/>
      <c r="AC242" s="1062"/>
      <c r="AD242" s="1062"/>
      <c r="AE242" s="1062"/>
      <c r="AF242" s="1062"/>
      <c r="AG242" s="1062"/>
      <c r="AH242" s="1062"/>
      <c r="AI242" s="1062"/>
      <c r="AJ242" s="1062"/>
      <c r="AK242" s="1062"/>
      <c r="AL242" s="1062"/>
      <c r="AM242" s="1062"/>
      <c r="AN242" s="1062"/>
      <c r="AO242" s="1062"/>
      <c r="AP242" s="1062"/>
      <c r="AQ242" s="1062"/>
      <c r="AR242" s="1062"/>
      <c r="AS242" s="1062"/>
      <c r="AT242" s="1062"/>
      <c r="AU242" s="1062"/>
      <c r="AV242" s="1062"/>
      <c r="AW242" s="1062"/>
    </row>
    <row r="243" spans="2:49" x14ac:dyDescent="0.2">
      <c r="B243" s="1078"/>
      <c r="C243" s="1079"/>
      <c r="D243" s="1078"/>
      <c r="E243" s="1081"/>
      <c r="F243" s="1081"/>
      <c r="G243" s="1066"/>
      <c r="H243" s="1069"/>
      <c r="I243" s="1069"/>
      <c r="J243" s="1128" t="str">
        <f t="shared" si="16"/>
        <v/>
      </c>
      <c r="K243" s="1069"/>
      <c r="L243" s="1069"/>
      <c r="M243" s="1129" t="str">
        <f t="shared" si="17"/>
        <v/>
      </c>
      <c r="N243" s="1069"/>
      <c r="O243" s="1069"/>
      <c r="P243" s="1129" t="str">
        <f t="shared" si="18"/>
        <v/>
      </c>
      <c r="Q243" s="1069"/>
      <c r="R243" s="1069"/>
      <c r="S243" s="1129" t="str">
        <f t="shared" si="19"/>
        <v/>
      </c>
      <c r="T243" s="1068"/>
      <c r="U243" s="1069"/>
      <c r="V243" s="1267" t="str">
        <f t="shared" si="20"/>
        <v/>
      </c>
      <c r="W243" s="1062"/>
      <c r="X243" s="1062"/>
      <c r="Y243" s="1062"/>
      <c r="Z243" s="1062"/>
      <c r="AA243" s="1062"/>
      <c r="AB243" s="1062"/>
      <c r="AC243" s="1062"/>
      <c r="AD243" s="1062"/>
      <c r="AE243" s="1062"/>
      <c r="AF243" s="1062"/>
      <c r="AG243" s="1062"/>
      <c r="AH243" s="1062"/>
      <c r="AI243" s="1062"/>
      <c r="AJ243" s="1062"/>
      <c r="AK243" s="1062"/>
      <c r="AL243" s="1062"/>
      <c r="AM243" s="1062"/>
      <c r="AN243" s="1062"/>
      <c r="AO243" s="1062"/>
      <c r="AP243" s="1062"/>
      <c r="AQ243" s="1062"/>
      <c r="AR243" s="1062"/>
      <c r="AS243" s="1062"/>
      <c r="AT243" s="1062"/>
      <c r="AU243" s="1062"/>
      <c r="AV243" s="1062"/>
      <c r="AW243" s="1062"/>
    </row>
    <row r="244" spans="2:49" x14ac:dyDescent="0.2">
      <c r="B244" s="1078"/>
      <c r="C244" s="1079"/>
      <c r="D244" s="1078"/>
      <c r="E244" s="1081"/>
      <c r="F244" s="1081"/>
      <c r="G244" s="1066"/>
      <c r="H244" s="1069"/>
      <c r="I244" s="1069"/>
      <c r="J244" s="1128" t="str">
        <f t="shared" si="16"/>
        <v/>
      </c>
      <c r="K244" s="1069"/>
      <c r="L244" s="1069"/>
      <c r="M244" s="1129" t="str">
        <f t="shared" si="17"/>
        <v/>
      </c>
      <c r="N244" s="1069"/>
      <c r="O244" s="1069"/>
      <c r="P244" s="1129" t="str">
        <f t="shared" si="18"/>
        <v/>
      </c>
      <c r="Q244" s="1069"/>
      <c r="R244" s="1069"/>
      <c r="S244" s="1129" t="str">
        <f t="shared" si="19"/>
        <v/>
      </c>
      <c r="T244" s="1068"/>
      <c r="U244" s="1069"/>
      <c r="V244" s="1267" t="str">
        <f t="shared" si="20"/>
        <v/>
      </c>
      <c r="W244" s="1062"/>
      <c r="X244" s="1062"/>
      <c r="Y244" s="1062"/>
      <c r="Z244" s="1062"/>
      <c r="AA244" s="1062"/>
      <c r="AB244" s="1062"/>
      <c r="AC244" s="1062"/>
      <c r="AD244" s="1062"/>
      <c r="AE244" s="1062"/>
      <c r="AF244" s="1062"/>
      <c r="AG244" s="1062"/>
      <c r="AH244" s="1062"/>
      <c r="AI244" s="1062"/>
      <c r="AJ244" s="1062"/>
      <c r="AK244" s="1062"/>
      <c r="AL244" s="1062"/>
      <c r="AM244" s="1062"/>
      <c r="AN244" s="1062"/>
      <c r="AO244" s="1062"/>
      <c r="AP244" s="1062"/>
      <c r="AQ244" s="1062"/>
      <c r="AR244" s="1062"/>
      <c r="AS244" s="1062"/>
      <c r="AT244" s="1062"/>
      <c r="AU244" s="1062"/>
      <c r="AV244" s="1062"/>
      <c r="AW244" s="1062"/>
    </row>
    <row r="245" spans="2:49" x14ac:dyDescent="0.2">
      <c r="B245" s="1078"/>
      <c r="C245" s="1079"/>
      <c r="D245" s="1078"/>
      <c r="E245" s="1081"/>
      <c r="F245" s="1081"/>
      <c r="G245" s="1066"/>
      <c r="H245" s="1069"/>
      <c r="I245" s="1069"/>
      <c r="J245" s="1128" t="str">
        <f t="shared" si="16"/>
        <v/>
      </c>
      <c r="K245" s="1069"/>
      <c r="L245" s="1069"/>
      <c r="M245" s="1129" t="str">
        <f t="shared" si="17"/>
        <v/>
      </c>
      <c r="N245" s="1069"/>
      <c r="O245" s="1069"/>
      <c r="P245" s="1129" t="str">
        <f t="shared" si="18"/>
        <v/>
      </c>
      <c r="Q245" s="1069"/>
      <c r="R245" s="1069"/>
      <c r="S245" s="1129" t="str">
        <f t="shared" si="19"/>
        <v/>
      </c>
      <c r="T245" s="1068"/>
      <c r="U245" s="1069"/>
      <c r="V245" s="1267" t="str">
        <f t="shared" si="20"/>
        <v/>
      </c>
      <c r="W245" s="1062"/>
      <c r="X245" s="1062"/>
      <c r="Y245" s="1062"/>
      <c r="Z245" s="1062"/>
      <c r="AA245" s="1062"/>
      <c r="AB245" s="1062"/>
      <c r="AC245" s="1062"/>
      <c r="AD245" s="1062"/>
      <c r="AE245" s="1062"/>
      <c r="AF245" s="1062"/>
      <c r="AG245" s="1062"/>
      <c r="AH245" s="1062"/>
      <c r="AI245" s="1062"/>
      <c r="AJ245" s="1062"/>
      <c r="AK245" s="1062"/>
      <c r="AL245" s="1062"/>
      <c r="AM245" s="1062"/>
      <c r="AN245" s="1062"/>
      <c r="AO245" s="1062"/>
      <c r="AP245" s="1062"/>
      <c r="AQ245" s="1062"/>
      <c r="AR245" s="1062"/>
      <c r="AS245" s="1062"/>
      <c r="AT245" s="1062"/>
      <c r="AU245" s="1062"/>
      <c r="AV245" s="1062"/>
      <c r="AW245" s="1062"/>
    </row>
    <row r="246" spans="2:49" x14ac:dyDescent="0.2">
      <c r="B246" s="1078"/>
      <c r="C246" s="1079"/>
      <c r="D246" s="1078"/>
      <c r="E246" s="1081"/>
      <c r="F246" s="1081"/>
      <c r="G246" s="1066"/>
      <c r="H246" s="1069"/>
      <c r="I246" s="1069"/>
      <c r="J246" s="1128" t="str">
        <f t="shared" si="16"/>
        <v/>
      </c>
      <c r="K246" s="1069"/>
      <c r="L246" s="1069"/>
      <c r="M246" s="1129" t="str">
        <f t="shared" si="17"/>
        <v/>
      </c>
      <c r="N246" s="1069"/>
      <c r="O246" s="1069"/>
      <c r="P246" s="1129" t="str">
        <f t="shared" si="18"/>
        <v/>
      </c>
      <c r="Q246" s="1069"/>
      <c r="R246" s="1069"/>
      <c r="S246" s="1129" t="str">
        <f t="shared" si="19"/>
        <v/>
      </c>
      <c r="T246" s="1068"/>
      <c r="U246" s="1069"/>
      <c r="V246" s="1267" t="str">
        <f t="shared" si="20"/>
        <v/>
      </c>
      <c r="W246" s="1062"/>
      <c r="X246" s="1062"/>
      <c r="Y246" s="1062"/>
      <c r="Z246" s="1062"/>
      <c r="AA246" s="1062"/>
      <c r="AB246" s="1062"/>
      <c r="AC246" s="1062"/>
      <c r="AD246" s="1062"/>
      <c r="AE246" s="1062"/>
      <c r="AF246" s="1062"/>
      <c r="AG246" s="1062"/>
      <c r="AH246" s="1062"/>
      <c r="AI246" s="1062"/>
      <c r="AJ246" s="1062"/>
      <c r="AK246" s="1062"/>
      <c r="AL246" s="1062"/>
      <c r="AM246" s="1062"/>
      <c r="AN246" s="1062"/>
      <c r="AO246" s="1062"/>
      <c r="AP246" s="1062"/>
      <c r="AQ246" s="1062"/>
      <c r="AR246" s="1062"/>
      <c r="AS246" s="1062"/>
      <c r="AT246" s="1062"/>
      <c r="AU246" s="1062"/>
      <c r="AV246" s="1062"/>
      <c r="AW246" s="1062"/>
    </row>
    <row r="247" spans="2:49" x14ac:dyDescent="0.2">
      <c r="B247" s="1078"/>
      <c r="C247" s="1079"/>
      <c r="D247" s="1078"/>
      <c r="E247" s="1081"/>
      <c r="F247" s="1081"/>
      <c r="G247" s="1066"/>
      <c r="H247" s="1069"/>
      <c r="I247" s="1069"/>
      <c r="J247" s="1128" t="str">
        <f t="shared" si="16"/>
        <v/>
      </c>
      <c r="K247" s="1069"/>
      <c r="L247" s="1069"/>
      <c r="M247" s="1129" t="str">
        <f t="shared" si="17"/>
        <v/>
      </c>
      <c r="N247" s="1069"/>
      <c r="O247" s="1069"/>
      <c r="P247" s="1129" t="str">
        <f t="shared" si="18"/>
        <v/>
      </c>
      <c r="Q247" s="1069"/>
      <c r="R247" s="1069"/>
      <c r="S247" s="1129" t="str">
        <f t="shared" si="19"/>
        <v/>
      </c>
      <c r="T247" s="1068"/>
      <c r="U247" s="1069"/>
      <c r="V247" s="1267" t="str">
        <f t="shared" si="20"/>
        <v/>
      </c>
      <c r="W247" s="1062"/>
      <c r="X247" s="1062"/>
      <c r="Y247" s="1062"/>
      <c r="Z247" s="1062"/>
      <c r="AA247" s="1062"/>
      <c r="AB247" s="1062"/>
      <c r="AC247" s="1062"/>
      <c r="AD247" s="1062"/>
      <c r="AE247" s="1062"/>
      <c r="AF247" s="1062"/>
      <c r="AG247" s="1062"/>
      <c r="AH247" s="1062"/>
      <c r="AI247" s="1062"/>
      <c r="AJ247" s="1062"/>
      <c r="AK247" s="1062"/>
      <c r="AL247" s="1062"/>
      <c r="AM247" s="1062"/>
      <c r="AN247" s="1062"/>
      <c r="AO247" s="1062"/>
      <c r="AP247" s="1062"/>
      <c r="AQ247" s="1062"/>
      <c r="AR247" s="1062"/>
      <c r="AS247" s="1062"/>
      <c r="AT247" s="1062"/>
      <c r="AU247" s="1062"/>
      <c r="AV247" s="1062"/>
      <c r="AW247" s="1062"/>
    </row>
    <row r="248" spans="2:49" x14ac:dyDescent="0.2">
      <c r="B248" s="1078"/>
      <c r="C248" s="1079"/>
      <c r="D248" s="1078"/>
      <c r="E248" s="1081"/>
      <c r="F248" s="1081"/>
      <c r="G248" s="1066"/>
      <c r="H248" s="1069"/>
      <c r="I248" s="1069"/>
      <c r="J248" s="1128" t="str">
        <f t="shared" si="16"/>
        <v/>
      </c>
      <c r="K248" s="1069"/>
      <c r="L248" s="1069"/>
      <c r="M248" s="1129" t="str">
        <f t="shared" si="17"/>
        <v/>
      </c>
      <c r="N248" s="1069"/>
      <c r="O248" s="1069"/>
      <c r="P248" s="1129" t="str">
        <f t="shared" si="18"/>
        <v/>
      </c>
      <c r="Q248" s="1069"/>
      <c r="R248" s="1069"/>
      <c r="S248" s="1129" t="str">
        <f t="shared" si="19"/>
        <v/>
      </c>
      <c r="T248" s="1068"/>
      <c r="U248" s="1069"/>
      <c r="V248" s="1267" t="str">
        <f t="shared" si="20"/>
        <v/>
      </c>
      <c r="W248" s="1062"/>
      <c r="X248" s="1062"/>
      <c r="Y248" s="1062"/>
      <c r="Z248" s="1062"/>
      <c r="AA248" s="1062"/>
      <c r="AB248" s="1062"/>
      <c r="AC248" s="1062"/>
      <c r="AD248" s="1062"/>
      <c r="AE248" s="1062"/>
      <c r="AF248" s="1062"/>
      <c r="AG248" s="1062"/>
      <c r="AH248" s="1062"/>
      <c r="AI248" s="1062"/>
      <c r="AJ248" s="1062"/>
      <c r="AK248" s="1062"/>
      <c r="AL248" s="1062"/>
      <c r="AM248" s="1062"/>
      <c r="AN248" s="1062"/>
      <c r="AO248" s="1062"/>
      <c r="AP248" s="1062"/>
      <c r="AQ248" s="1062"/>
      <c r="AR248" s="1062"/>
      <c r="AS248" s="1062"/>
      <c r="AT248" s="1062"/>
      <c r="AU248" s="1062"/>
      <c r="AV248" s="1062"/>
      <c r="AW248" s="1062"/>
    </row>
    <row r="249" spans="2:49" x14ac:dyDescent="0.2">
      <c r="B249" s="1078"/>
      <c r="C249" s="1079"/>
      <c r="D249" s="1078"/>
      <c r="E249" s="1081"/>
      <c r="F249" s="1081"/>
      <c r="G249" s="1066"/>
      <c r="H249" s="1069"/>
      <c r="I249" s="1069"/>
      <c r="J249" s="1128" t="str">
        <f t="shared" si="16"/>
        <v/>
      </c>
      <c r="K249" s="1069"/>
      <c r="L249" s="1069"/>
      <c r="M249" s="1129" t="str">
        <f t="shared" si="17"/>
        <v/>
      </c>
      <c r="N249" s="1069"/>
      <c r="O249" s="1069"/>
      <c r="P249" s="1129" t="str">
        <f t="shared" si="18"/>
        <v/>
      </c>
      <c r="Q249" s="1069"/>
      <c r="R249" s="1069"/>
      <c r="S249" s="1129" t="str">
        <f t="shared" si="19"/>
        <v/>
      </c>
      <c r="T249" s="1068"/>
      <c r="U249" s="1069"/>
      <c r="V249" s="1267" t="str">
        <f t="shared" si="20"/>
        <v/>
      </c>
      <c r="W249" s="1062"/>
      <c r="X249" s="1062"/>
      <c r="Y249" s="1062"/>
      <c r="Z249" s="1062"/>
      <c r="AA249" s="1062"/>
      <c r="AB249" s="1062"/>
      <c r="AC249" s="1062"/>
      <c r="AD249" s="1062"/>
      <c r="AE249" s="1062"/>
      <c r="AF249" s="1062"/>
      <c r="AG249" s="1062"/>
      <c r="AH249" s="1062"/>
      <c r="AI249" s="1062"/>
      <c r="AJ249" s="1062"/>
      <c r="AK249" s="1062"/>
      <c r="AL249" s="1062"/>
      <c r="AM249" s="1062"/>
      <c r="AN249" s="1062"/>
      <c r="AO249" s="1062"/>
      <c r="AP249" s="1062"/>
      <c r="AQ249" s="1062"/>
      <c r="AR249" s="1062"/>
      <c r="AS249" s="1062"/>
      <c r="AT249" s="1062"/>
      <c r="AU249" s="1062"/>
      <c r="AV249" s="1062"/>
      <c r="AW249" s="1062"/>
    </row>
    <row r="250" spans="2:49" x14ac:dyDescent="0.2">
      <c r="B250" s="1078"/>
      <c r="C250" s="1079"/>
      <c r="D250" s="1078"/>
      <c r="E250" s="1081"/>
      <c r="F250" s="1081"/>
      <c r="G250" s="1066"/>
      <c r="H250" s="1069"/>
      <c r="I250" s="1069"/>
      <c r="J250" s="1128" t="str">
        <f t="shared" si="16"/>
        <v/>
      </c>
      <c r="K250" s="1069"/>
      <c r="L250" s="1069"/>
      <c r="M250" s="1129" t="str">
        <f t="shared" si="17"/>
        <v/>
      </c>
      <c r="N250" s="1069"/>
      <c r="O250" s="1069"/>
      <c r="P250" s="1129" t="str">
        <f t="shared" si="18"/>
        <v/>
      </c>
      <c r="Q250" s="1069"/>
      <c r="R250" s="1069"/>
      <c r="S250" s="1129" t="str">
        <f t="shared" si="19"/>
        <v/>
      </c>
      <c r="T250" s="1068"/>
      <c r="U250" s="1069"/>
      <c r="V250" s="1267" t="str">
        <f t="shared" si="20"/>
        <v/>
      </c>
      <c r="W250" s="1062"/>
      <c r="X250" s="1062"/>
      <c r="Y250" s="1062"/>
      <c r="Z250" s="1062"/>
      <c r="AA250" s="1062"/>
      <c r="AB250" s="1062"/>
      <c r="AC250" s="1062"/>
      <c r="AD250" s="1062"/>
      <c r="AE250" s="1062"/>
      <c r="AF250" s="1062"/>
      <c r="AG250" s="1062"/>
      <c r="AH250" s="1062"/>
      <c r="AI250" s="1062"/>
      <c r="AJ250" s="1062"/>
      <c r="AK250" s="1062"/>
      <c r="AL250" s="1062"/>
      <c r="AM250" s="1062"/>
      <c r="AN250" s="1062"/>
      <c r="AO250" s="1062"/>
      <c r="AP250" s="1062"/>
      <c r="AQ250" s="1062"/>
      <c r="AR250" s="1062"/>
      <c r="AS250" s="1062"/>
      <c r="AT250" s="1062"/>
      <c r="AU250" s="1062"/>
      <c r="AV250" s="1062"/>
      <c r="AW250" s="1062"/>
    </row>
    <row r="251" spans="2:49" x14ac:dyDescent="0.2">
      <c r="B251" s="1078"/>
      <c r="C251" s="1079"/>
      <c r="D251" s="1078"/>
      <c r="E251" s="1081"/>
      <c r="F251" s="1081"/>
      <c r="G251" s="1066"/>
      <c r="H251" s="1069"/>
      <c r="I251" s="1069"/>
      <c r="J251" s="1128" t="str">
        <f t="shared" si="16"/>
        <v/>
      </c>
      <c r="K251" s="1069"/>
      <c r="L251" s="1069"/>
      <c r="M251" s="1129" t="str">
        <f t="shared" si="17"/>
        <v/>
      </c>
      <c r="N251" s="1069"/>
      <c r="O251" s="1069"/>
      <c r="P251" s="1129" t="str">
        <f t="shared" si="18"/>
        <v/>
      </c>
      <c r="Q251" s="1069"/>
      <c r="R251" s="1069"/>
      <c r="S251" s="1129" t="str">
        <f t="shared" si="19"/>
        <v/>
      </c>
      <c r="T251" s="1068"/>
      <c r="U251" s="1069"/>
      <c r="V251" s="1267" t="str">
        <f t="shared" si="20"/>
        <v/>
      </c>
      <c r="W251" s="1062"/>
      <c r="X251" s="1062"/>
      <c r="Y251" s="1062"/>
      <c r="Z251" s="1062"/>
      <c r="AA251" s="1062"/>
      <c r="AB251" s="1062"/>
      <c r="AC251" s="1062"/>
      <c r="AD251" s="1062"/>
      <c r="AE251" s="1062"/>
      <c r="AF251" s="1062"/>
      <c r="AG251" s="1062"/>
      <c r="AH251" s="1062"/>
      <c r="AI251" s="1062"/>
      <c r="AJ251" s="1062"/>
      <c r="AK251" s="1062"/>
      <c r="AL251" s="1062"/>
      <c r="AM251" s="1062"/>
      <c r="AN251" s="1062"/>
      <c r="AO251" s="1062"/>
      <c r="AP251" s="1062"/>
      <c r="AQ251" s="1062"/>
      <c r="AR251" s="1062"/>
      <c r="AS251" s="1062"/>
      <c r="AT251" s="1062"/>
      <c r="AU251" s="1062"/>
      <c r="AV251" s="1062"/>
      <c r="AW251" s="1062"/>
    </row>
    <row r="252" spans="2:49" x14ac:dyDescent="0.2">
      <c r="B252" s="1078"/>
      <c r="C252" s="1079"/>
      <c r="D252" s="1078"/>
      <c r="E252" s="1081"/>
      <c r="F252" s="1081"/>
      <c r="G252" s="1066"/>
      <c r="H252" s="1069"/>
      <c r="I252" s="1069"/>
      <c r="J252" s="1128" t="str">
        <f t="shared" si="16"/>
        <v/>
      </c>
      <c r="K252" s="1069"/>
      <c r="L252" s="1069"/>
      <c r="M252" s="1129" t="str">
        <f t="shared" si="17"/>
        <v/>
      </c>
      <c r="N252" s="1069"/>
      <c r="O252" s="1069"/>
      <c r="P252" s="1129" t="str">
        <f t="shared" si="18"/>
        <v/>
      </c>
      <c r="Q252" s="1069"/>
      <c r="R252" s="1069"/>
      <c r="S252" s="1129" t="str">
        <f t="shared" si="19"/>
        <v/>
      </c>
      <c r="T252" s="1068"/>
      <c r="U252" s="1069"/>
      <c r="V252" s="1267" t="str">
        <f t="shared" si="20"/>
        <v/>
      </c>
      <c r="W252" s="1062"/>
      <c r="X252" s="1062"/>
      <c r="Y252" s="1062"/>
      <c r="Z252" s="1062"/>
      <c r="AA252" s="1062"/>
      <c r="AB252" s="1062"/>
      <c r="AC252" s="1062"/>
      <c r="AD252" s="1062"/>
      <c r="AE252" s="1062"/>
      <c r="AF252" s="1062"/>
      <c r="AG252" s="1062"/>
      <c r="AH252" s="1062"/>
      <c r="AI252" s="1062"/>
      <c r="AJ252" s="1062"/>
      <c r="AK252" s="1062"/>
      <c r="AL252" s="1062"/>
      <c r="AM252" s="1062"/>
      <c r="AN252" s="1062"/>
      <c r="AO252" s="1062"/>
      <c r="AP252" s="1062"/>
      <c r="AQ252" s="1062"/>
      <c r="AR252" s="1062"/>
      <c r="AS252" s="1062"/>
      <c r="AT252" s="1062"/>
      <c r="AU252" s="1062"/>
      <c r="AV252" s="1062"/>
      <c r="AW252" s="1062"/>
    </row>
    <row r="253" spans="2:49" x14ac:dyDescent="0.2">
      <c r="B253" s="1078"/>
      <c r="C253" s="1079"/>
      <c r="D253" s="1078"/>
      <c r="E253" s="1081"/>
      <c r="F253" s="1081"/>
      <c r="G253" s="1066"/>
      <c r="H253" s="1069"/>
      <c r="I253" s="1069"/>
      <c r="J253" s="1128" t="str">
        <f t="shared" si="16"/>
        <v/>
      </c>
      <c r="K253" s="1069"/>
      <c r="L253" s="1069"/>
      <c r="M253" s="1129" t="str">
        <f t="shared" si="17"/>
        <v/>
      </c>
      <c r="N253" s="1069"/>
      <c r="O253" s="1069"/>
      <c r="P253" s="1129" t="str">
        <f t="shared" si="18"/>
        <v/>
      </c>
      <c r="Q253" s="1069"/>
      <c r="R253" s="1069"/>
      <c r="S253" s="1129" t="str">
        <f t="shared" si="19"/>
        <v/>
      </c>
      <c r="T253" s="1068"/>
      <c r="U253" s="1069"/>
      <c r="V253" s="1267" t="str">
        <f t="shared" si="20"/>
        <v/>
      </c>
      <c r="W253" s="1062"/>
      <c r="X253" s="1062"/>
      <c r="Y253" s="1062"/>
      <c r="Z253" s="1062"/>
      <c r="AA253" s="1062"/>
      <c r="AB253" s="1062"/>
      <c r="AC253" s="1062"/>
      <c r="AD253" s="1062"/>
      <c r="AE253" s="1062"/>
      <c r="AF253" s="1062"/>
      <c r="AG253" s="1062"/>
      <c r="AH253" s="1062"/>
      <c r="AI253" s="1062"/>
      <c r="AJ253" s="1062"/>
      <c r="AK253" s="1062"/>
      <c r="AL253" s="1062"/>
      <c r="AM253" s="1062"/>
      <c r="AN253" s="1062"/>
      <c r="AO253" s="1062"/>
      <c r="AP253" s="1062"/>
      <c r="AQ253" s="1062"/>
      <c r="AR253" s="1062"/>
      <c r="AS253" s="1062"/>
      <c r="AT253" s="1062"/>
      <c r="AU253" s="1062"/>
      <c r="AV253" s="1062"/>
      <c r="AW253" s="1062"/>
    </row>
    <row r="254" spans="2:49" x14ac:dyDescent="0.2">
      <c r="B254" s="1078"/>
      <c r="C254" s="1079"/>
      <c r="D254" s="1078"/>
      <c r="E254" s="1081"/>
      <c r="F254" s="1081"/>
      <c r="G254" s="1066"/>
      <c r="H254" s="1069"/>
      <c r="I254" s="1069"/>
      <c r="J254" s="1128" t="str">
        <f t="shared" si="16"/>
        <v/>
      </c>
      <c r="K254" s="1069"/>
      <c r="L254" s="1069"/>
      <c r="M254" s="1129" t="str">
        <f t="shared" si="17"/>
        <v/>
      </c>
      <c r="N254" s="1069"/>
      <c r="O254" s="1069"/>
      <c r="P254" s="1129" t="str">
        <f t="shared" si="18"/>
        <v/>
      </c>
      <c r="Q254" s="1069"/>
      <c r="R254" s="1069"/>
      <c r="S254" s="1129" t="str">
        <f t="shared" si="19"/>
        <v/>
      </c>
      <c r="T254" s="1068"/>
      <c r="U254" s="1069"/>
      <c r="V254" s="1267" t="str">
        <f t="shared" si="20"/>
        <v/>
      </c>
      <c r="W254" s="1062"/>
      <c r="X254" s="1062"/>
      <c r="Y254" s="1062"/>
      <c r="Z254" s="1062"/>
      <c r="AA254" s="1062"/>
      <c r="AB254" s="1062"/>
      <c r="AC254" s="1062"/>
      <c r="AD254" s="1062"/>
      <c r="AE254" s="1062"/>
      <c r="AF254" s="1062"/>
      <c r="AG254" s="1062"/>
      <c r="AH254" s="1062"/>
      <c r="AI254" s="1062"/>
      <c r="AJ254" s="1062"/>
      <c r="AK254" s="1062"/>
      <c r="AL254" s="1062"/>
      <c r="AM254" s="1062"/>
      <c r="AN254" s="1062"/>
      <c r="AO254" s="1062"/>
      <c r="AP254" s="1062"/>
      <c r="AQ254" s="1062"/>
      <c r="AR254" s="1062"/>
      <c r="AS254" s="1062"/>
      <c r="AT254" s="1062"/>
      <c r="AU254" s="1062"/>
      <c r="AV254" s="1062"/>
      <c r="AW254" s="1062"/>
    </row>
    <row r="255" spans="2:49" x14ac:dyDescent="0.2">
      <c r="B255" s="1078"/>
      <c r="C255" s="1079"/>
      <c r="D255" s="1078"/>
      <c r="E255" s="1081"/>
      <c r="F255" s="1081"/>
      <c r="G255" s="1066"/>
      <c r="H255" s="1069"/>
      <c r="I255" s="1069"/>
      <c r="J255" s="1128" t="str">
        <f t="shared" si="16"/>
        <v/>
      </c>
      <c r="K255" s="1069"/>
      <c r="L255" s="1069"/>
      <c r="M255" s="1129" t="str">
        <f t="shared" si="17"/>
        <v/>
      </c>
      <c r="N255" s="1069"/>
      <c r="O255" s="1069"/>
      <c r="P255" s="1129" t="str">
        <f t="shared" si="18"/>
        <v/>
      </c>
      <c r="Q255" s="1069"/>
      <c r="R255" s="1069"/>
      <c r="S255" s="1129" t="str">
        <f t="shared" si="19"/>
        <v/>
      </c>
      <c r="T255" s="1068"/>
      <c r="U255" s="1069"/>
      <c r="V255" s="1267" t="str">
        <f t="shared" si="20"/>
        <v/>
      </c>
      <c r="W255" s="1062"/>
      <c r="X255" s="1062"/>
      <c r="Y255" s="1062"/>
      <c r="Z255" s="1062"/>
      <c r="AA255" s="1062"/>
      <c r="AB255" s="1062"/>
      <c r="AC255" s="1062"/>
      <c r="AD255" s="1062"/>
      <c r="AE255" s="1062"/>
      <c r="AF255" s="1062"/>
      <c r="AG255" s="1062"/>
      <c r="AH255" s="1062"/>
      <c r="AI255" s="1062"/>
      <c r="AJ255" s="1062"/>
      <c r="AK255" s="1062"/>
      <c r="AL255" s="1062"/>
      <c r="AM255" s="1062"/>
      <c r="AN255" s="1062"/>
      <c r="AO255" s="1062"/>
      <c r="AP255" s="1062"/>
      <c r="AQ255" s="1062"/>
      <c r="AR255" s="1062"/>
      <c r="AS255" s="1062"/>
      <c r="AT255" s="1062"/>
      <c r="AU255" s="1062"/>
      <c r="AV255" s="1062"/>
      <c r="AW255" s="1062"/>
    </row>
    <row r="256" spans="2:49" x14ac:dyDescent="0.2">
      <c r="B256" s="1078"/>
      <c r="C256" s="1079"/>
      <c r="D256" s="1078"/>
      <c r="E256" s="1081"/>
      <c r="F256" s="1081"/>
      <c r="G256" s="1066"/>
      <c r="H256" s="1069"/>
      <c r="I256" s="1069"/>
      <c r="J256" s="1128" t="str">
        <f t="shared" si="16"/>
        <v/>
      </c>
      <c r="K256" s="1069"/>
      <c r="L256" s="1069"/>
      <c r="M256" s="1129" t="str">
        <f t="shared" si="17"/>
        <v/>
      </c>
      <c r="N256" s="1069"/>
      <c r="O256" s="1069"/>
      <c r="P256" s="1129" t="str">
        <f t="shared" si="18"/>
        <v/>
      </c>
      <c r="Q256" s="1069"/>
      <c r="R256" s="1069"/>
      <c r="S256" s="1129" t="str">
        <f t="shared" si="19"/>
        <v/>
      </c>
      <c r="T256" s="1068"/>
      <c r="U256" s="1069"/>
      <c r="V256" s="1267" t="str">
        <f t="shared" si="20"/>
        <v/>
      </c>
      <c r="W256" s="1062"/>
      <c r="X256" s="1062"/>
      <c r="Y256" s="1062"/>
      <c r="Z256" s="1062"/>
      <c r="AA256" s="1062"/>
      <c r="AB256" s="1062"/>
      <c r="AC256" s="1062"/>
      <c r="AD256" s="1062"/>
      <c r="AE256" s="1062"/>
      <c r="AF256" s="1062"/>
      <c r="AG256" s="1062"/>
      <c r="AH256" s="1062"/>
      <c r="AI256" s="1062"/>
      <c r="AJ256" s="1062"/>
      <c r="AK256" s="1062"/>
      <c r="AL256" s="1062"/>
      <c r="AM256" s="1062"/>
      <c r="AN256" s="1062"/>
      <c r="AO256" s="1062"/>
      <c r="AP256" s="1062"/>
      <c r="AQ256" s="1062"/>
      <c r="AR256" s="1062"/>
      <c r="AS256" s="1062"/>
      <c r="AT256" s="1062"/>
      <c r="AU256" s="1062"/>
      <c r="AV256" s="1062"/>
      <c r="AW256" s="1062"/>
    </row>
    <row r="257" spans="2:49" x14ac:dyDescent="0.2">
      <c r="B257" s="1078"/>
      <c r="C257" s="1079"/>
      <c r="D257" s="1078"/>
      <c r="E257" s="1081"/>
      <c r="F257" s="1081"/>
      <c r="G257" s="1066"/>
      <c r="H257" s="1069"/>
      <c r="I257" s="1069"/>
      <c r="J257" s="1128" t="str">
        <f t="shared" si="16"/>
        <v/>
      </c>
      <c r="K257" s="1069"/>
      <c r="L257" s="1069"/>
      <c r="M257" s="1129" t="str">
        <f t="shared" si="17"/>
        <v/>
      </c>
      <c r="N257" s="1069"/>
      <c r="O257" s="1069"/>
      <c r="P257" s="1129" t="str">
        <f t="shared" si="18"/>
        <v/>
      </c>
      <c r="Q257" s="1069"/>
      <c r="R257" s="1069"/>
      <c r="S257" s="1129" t="str">
        <f t="shared" si="19"/>
        <v/>
      </c>
      <c r="T257" s="1068"/>
      <c r="U257" s="1069"/>
      <c r="V257" s="1267" t="str">
        <f t="shared" si="20"/>
        <v/>
      </c>
      <c r="W257" s="1062"/>
      <c r="X257" s="1062"/>
      <c r="Y257" s="1062"/>
      <c r="Z257" s="1062"/>
      <c r="AA257" s="1062"/>
      <c r="AB257" s="1062"/>
      <c r="AC257" s="1062"/>
      <c r="AD257" s="1062"/>
      <c r="AE257" s="1062"/>
      <c r="AF257" s="1062"/>
      <c r="AG257" s="1062"/>
      <c r="AH257" s="1062"/>
      <c r="AI257" s="1062"/>
      <c r="AJ257" s="1062"/>
      <c r="AK257" s="1062"/>
      <c r="AL257" s="1062"/>
      <c r="AM257" s="1062"/>
      <c r="AN257" s="1062"/>
      <c r="AO257" s="1062"/>
      <c r="AP257" s="1062"/>
      <c r="AQ257" s="1062"/>
      <c r="AR257" s="1062"/>
      <c r="AS257" s="1062"/>
      <c r="AT257" s="1062"/>
      <c r="AU257" s="1062"/>
      <c r="AV257" s="1062"/>
      <c r="AW257" s="1062"/>
    </row>
    <row r="258" spans="2:49" x14ac:dyDescent="0.2">
      <c r="B258" s="1078"/>
      <c r="C258" s="1079"/>
      <c r="D258" s="1078"/>
      <c r="E258" s="1081"/>
      <c r="F258" s="1081"/>
      <c r="G258" s="1066"/>
      <c r="H258" s="1069"/>
      <c r="I258" s="1069"/>
      <c r="J258" s="1128" t="str">
        <f t="shared" si="16"/>
        <v/>
      </c>
      <c r="K258" s="1069"/>
      <c r="L258" s="1069"/>
      <c r="M258" s="1129" t="str">
        <f t="shared" si="17"/>
        <v/>
      </c>
      <c r="N258" s="1069"/>
      <c r="O258" s="1069"/>
      <c r="P258" s="1129" t="str">
        <f t="shared" si="18"/>
        <v/>
      </c>
      <c r="Q258" s="1069"/>
      <c r="R258" s="1069"/>
      <c r="S258" s="1129" t="str">
        <f t="shared" si="19"/>
        <v/>
      </c>
      <c r="T258" s="1068"/>
      <c r="U258" s="1069"/>
      <c r="V258" s="1267" t="str">
        <f t="shared" si="20"/>
        <v/>
      </c>
      <c r="W258" s="1062"/>
      <c r="X258" s="1062"/>
      <c r="Y258" s="1062"/>
      <c r="Z258" s="1062"/>
      <c r="AA258" s="1062"/>
      <c r="AB258" s="1062"/>
      <c r="AC258" s="1062"/>
      <c r="AD258" s="1062"/>
      <c r="AE258" s="1062"/>
      <c r="AF258" s="1062"/>
      <c r="AG258" s="1062"/>
      <c r="AH258" s="1062"/>
      <c r="AI258" s="1062"/>
      <c r="AJ258" s="1062"/>
      <c r="AK258" s="1062"/>
      <c r="AL258" s="1062"/>
      <c r="AM258" s="1062"/>
      <c r="AN258" s="1062"/>
      <c r="AO258" s="1062"/>
      <c r="AP258" s="1062"/>
      <c r="AQ258" s="1062"/>
      <c r="AR258" s="1062"/>
      <c r="AS258" s="1062"/>
      <c r="AT258" s="1062"/>
      <c r="AU258" s="1062"/>
      <c r="AV258" s="1062"/>
      <c r="AW258" s="1062"/>
    </row>
    <row r="259" spans="2:49" x14ac:dyDescent="0.2">
      <c r="B259" s="1078"/>
      <c r="C259" s="1079"/>
      <c r="D259" s="1078"/>
      <c r="E259" s="1081"/>
      <c r="F259" s="1081"/>
      <c r="G259" s="1066"/>
      <c r="H259" s="1069"/>
      <c r="I259" s="1069"/>
      <c r="J259" s="1128" t="str">
        <f t="shared" si="16"/>
        <v/>
      </c>
      <c r="K259" s="1069"/>
      <c r="L259" s="1069"/>
      <c r="M259" s="1129" t="str">
        <f t="shared" si="17"/>
        <v/>
      </c>
      <c r="N259" s="1069"/>
      <c r="O259" s="1069"/>
      <c r="P259" s="1129" t="str">
        <f t="shared" si="18"/>
        <v/>
      </c>
      <c r="Q259" s="1069"/>
      <c r="R259" s="1069"/>
      <c r="S259" s="1129" t="str">
        <f t="shared" si="19"/>
        <v/>
      </c>
      <c r="T259" s="1068"/>
      <c r="U259" s="1069"/>
      <c r="V259" s="1267" t="str">
        <f t="shared" si="20"/>
        <v/>
      </c>
      <c r="W259" s="1062"/>
      <c r="X259" s="1062"/>
      <c r="Y259" s="1062"/>
      <c r="Z259" s="1062"/>
      <c r="AA259" s="1062"/>
      <c r="AB259" s="1062"/>
      <c r="AC259" s="1062"/>
      <c r="AD259" s="1062"/>
      <c r="AE259" s="1062"/>
      <c r="AF259" s="1062"/>
      <c r="AG259" s="1062"/>
      <c r="AH259" s="1062"/>
      <c r="AI259" s="1062"/>
      <c r="AJ259" s="1062"/>
      <c r="AK259" s="1062"/>
      <c r="AL259" s="1062"/>
      <c r="AM259" s="1062"/>
      <c r="AN259" s="1062"/>
      <c r="AO259" s="1062"/>
      <c r="AP259" s="1062"/>
      <c r="AQ259" s="1062"/>
      <c r="AR259" s="1062"/>
      <c r="AS259" s="1062"/>
      <c r="AT259" s="1062"/>
      <c r="AU259" s="1062"/>
      <c r="AV259" s="1062"/>
      <c r="AW259" s="1062"/>
    </row>
    <row r="260" spans="2:49" x14ac:dyDescent="0.2">
      <c r="B260" s="1078"/>
      <c r="C260" s="1079"/>
      <c r="D260" s="1078"/>
      <c r="E260" s="1081"/>
      <c r="F260" s="1081"/>
      <c r="G260" s="1066"/>
      <c r="H260" s="1069"/>
      <c r="I260" s="1069"/>
      <c r="J260" s="1128" t="str">
        <f t="shared" si="16"/>
        <v/>
      </c>
      <c r="K260" s="1069"/>
      <c r="L260" s="1069"/>
      <c r="M260" s="1129" t="str">
        <f t="shared" si="17"/>
        <v/>
      </c>
      <c r="N260" s="1069"/>
      <c r="O260" s="1069"/>
      <c r="P260" s="1129" t="str">
        <f t="shared" si="18"/>
        <v/>
      </c>
      <c r="Q260" s="1069"/>
      <c r="R260" s="1069"/>
      <c r="S260" s="1129" t="str">
        <f t="shared" si="19"/>
        <v/>
      </c>
      <c r="T260" s="1068"/>
      <c r="U260" s="1069"/>
      <c r="V260" s="1267" t="str">
        <f t="shared" si="20"/>
        <v/>
      </c>
      <c r="W260" s="1062"/>
      <c r="X260" s="1062"/>
      <c r="Y260" s="1062"/>
      <c r="Z260" s="1062"/>
      <c r="AA260" s="1062"/>
      <c r="AB260" s="1062"/>
      <c r="AC260" s="1062"/>
      <c r="AD260" s="1062"/>
      <c r="AE260" s="1062"/>
      <c r="AF260" s="1062"/>
      <c r="AG260" s="1062"/>
      <c r="AH260" s="1062"/>
      <c r="AI260" s="1062"/>
      <c r="AJ260" s="1062"/>
      <c r="AK260" s="1062"/>
      <c r="AL260" s="1062"/>
      <c r="AM260" s="1062"/>
      <c r="AN260" s="1062"/>
      <c r="AO260" s="1062"/>
      <c r="AP260" s="1062"/>
      <c r="AQ260" s="1062"/>
      <c r="AR260" s="1062"/>
      <c r="AS260" s="1062"/>
      <c r="AT260" s="1062"/>
      <c r="AU260" s="1062"/>
      <c r="AV260" s="1062"/>
      <c r="AW260" s="1062"/>
    </row>
    <row r="261" spans="2:49" x14ac:dyDescent="0.2">
      <c r="B261" s="1078"/>
      <c r="C261" s="1079"/>
      <c r="D261" s="1078"/>
      <c r="E261" s="1081"/>
      <c r="F261" s="1081"/>
      <c r="G261" s="1066"/>
      <c r="H261" s="1069"/>
      <c r="I261" s="1069"/>
      <c r="J261" s="1128" t="str">
        <f t="shared" si="16"/>
        <v/>
      </c>
      <c r="K261" s="1069"/>
      <c r="L261" s="1069"/>
      <c r="M261" s="1129" t="str">
        <f t="shared" si="17"/>
        <v/>
      </c>
      <c r="N261" s="1069"/>
      <c r="O261" s="1069"/>
      <c r="P261" s="1129" t="str">
        <f t="shared" si="18"/>
        <v/>
      </c>
      <c r="Q261" s="1069"/>
      <c r="R261" s="1069"/>
      <c r="S261" s="1129" t="str">
        <f t="shared" si="19"/>
        <v/>
      </c>
      <c r="T261" s="1068"/>
      <c r="U261" s="1069"/>
      <c r="V261" s="1267" t="str">
        <f t="shared" si="20"/>
        <v/>
      </c>
      <c r="W261" s="1062"/>
      <c r="X261" s="1062"/>
      <c r="Y261" s="1062"/>
      <c r="Z261" s="1062"/>
      <c r="AA261" s="1062"/>
      <c r="AB261" s="1062"/>
      <c r="AC261" s="1062"/>
      <c r="AD261" s="1062"/>
      <c r="AE261" s="1062"/>
      <c r="AF261" s="1062"/>
      <c r="AG261" s="1062"/>
      <c r="AH261" s="1062"/>
      <c r="AI261" s="1062"/>
      <c r="AJ261" s="1062"/>
      <c r="AK261" s="1062"/>
      <c r="AL261" s="1062"/>
      <c r="AM261" s="1062"/>
      <c r="AN261" s="1062"/>
      <c r="AO261" s="1062"/>
      <c r="AP261" s="1062"/>
      <c r="AQ261" s="1062"/>
      <c r="AR261" s="1062"/>
      <c r="AS261" s="1062"/>
      <c r="AT261" s="1062"/>
      <c r="AU261" s="1062"/>
      <c r="AV261" s="1062"/>
      <c r="AW261" s="1062"/>
    </row>
    <row r="262" spans="2:49" x14ac:dyDescent="0.2">
      <c r="B262" s="1078"/>
      <c r="C262" s="1079"/>
      <c r="D262" s="1078"/>
      <c r="E262" s="1081"/>
      <c r="F262" s="1081"/>
      <c r="G262" s="1066"/>
      <c r="H262" s="1069"/>
      <c r="I262" s="1069"/>
      <c r="J262" s="1128" t="str">
        <f t="shared" si="16"/>
        <v/>
      </c>
      <c r="K262" s="1069"/>
      <c r="L262" s="1069"/>
      <c r="M262" s="1129" t="str">
        <f t="shared" si="17"/>
        <v/>
      </c>
      <c r="N262" s="1069"/>
      <c r="O262" s="1069"/>
      <c r="P262" s="1129" t="str">
        <f t="shared" si="18"/>
        <v/>
      </c>
      <c r="Q262" s="1069"/>
      <c r="R262" s="1069"/>
      <c r="S262" s="1129" t="str">
        <f t="shared" si="19"/>
        <v/>
      </c>
      <c r="T262" s="1068"/>
      <c r="U262" s="1069"/>
      <c r="V262" s="1267" t="str">
        <f t="shared" si="20"/>
        <v/>
      </c>
      <c r="W262" s="1062"/>
      <c r="X262" s="1062"/>
      <c r="Y262" s="1062"/>
      <c r="Z262" s="1062"/>
      <c r="AA262" s="1062"/>
      <c r="AB262" s="1062"/>
      <c r="AC262" s="1062"/>
      <c r="AD262" s="1062"/>
      <c r="AE262" s="1062"/>
      <c r="AF262" s="1062"/>
      <c r="AG262" s="1062"/>
      <c r="AH262" s="1062"/>
      <c r="AI262" s="1062"/>
      <c r="AJ262" s="1062"/>
      <c r="AK262" s="1062"/>
      <c r="AL262" s="1062"/>
      <c r="AM262" s="1062"/>
      <c r="AN262" s="1062"/>
      <c r="AO262" s="1062"/>
      <c r="AP262" s="1062"/>
      <c r="AQ262" s="1062"/>
      <c r="AR262" s="1062"/>
      <c r="AS262" s="1062"/>
      <c r="AT262" s="1062"/>
      <c r="AU262" s="1062"/>
      <c r="AV262" s="1062"/>
      <c r="AW262" s="1062"/>
    </row>
    <row r="263" spans="2:49" x14ac:dyDescent="0.2">
      <c r="B263" s="1078"/>
      <c r="C263" s="1079"/>
      <c r="D263" s="1078"/>
      <c r="E263" s="1081"/>
      <c r="F263" s="1081"/>
      <c r="G263" s="1066"/>
      <c r="H263" s="1069"/>
      <c r="I263" s="1069"/>
      <c r="J263" s="1128" t="str">
        <f t="shared" si="16"/>
        <v/>
      </c>
      <c r="K263" s="1069"/>
      <c r="L263" s="1069"/>
      <c r="M263" s="1129" t="str">
        <f t="shared" si="17"/>
        <v/>
      </c>
      <c r="N263" s="1069"/>
      <c r="O263" s="1069"/>
      <c r="P263" s="1129" t="str">
        <f t="shared" si="18"/>
        <v/>
      </c>
      <c r="Q263" s="1069"/>
      <c r="R263" s="1069"/>
      <c r="S263" s="1129" t="str">
        <f t="shared" si="19"/>
        <v/>
      </c>
      <c r="T263" s="1068"/>
      <c r="U263" s="1069"/>
      <c r="V263" s="1267" t="str">
        <f t="shared" si="20"/>
        <v/>
      </c>
      <c r="W263" s="1062"/>
      <c r="X263" s="1062"/>
      <c r="Y263" s="1062"/>
      <c r="Z263" s="1062"/>
      <c r="AA263" s="1062"/>
      <c r="AB263" s="1062"/>
      <c r="AC263" s="1062"/>
      <c r="AD263" s="1062"/>
      <c r="AE263" s="1062"/>
      <c r="AF263" s="1062"/>
      <c r="AG263" s="1062"/>
      <c r="AH263" s="1062"/>
      <c r="AI263" s="1062"/>
      <c r="AJ263" s="1062"/>
      <c r="AK263" s="1062"/>
      <c r="AL263" s="1062"/>
      <c r="AM263" s="1062"/>
      <c r="AN263" s="1062"/>
      <c r="AO263" s="1062"/>
      <c r="AP263" s="1062"/>
      <c r="AQ263" s="1062"/>
      <c r="AR263" s="1062"/>
      <c r="AS263" s="1062"/>
      <c r="AT263" s="1062"/>
      <c r="AU263" s="1062"/>
      <c r="AV263" s="1062"/>
      <c r="AW263" s="1062"/>
    </row>
    <row r="264" spans="2:49" x14ac:dyDescent="0.2">
      <c r="B264" s="1078"/>
      <c r="C264" s="1079"/>
      <c r="D264" s="1078"/>
      <c r="E264" s="1081"/>
      <c r="F264" s="1081"/>
      <c r="G264" s="1066"/>
      <c r="H264" s="1069"/>
      <c r="I264" s="1069"/>
      <c r="J264" s="1128" t="str">
        <f t="shared" si="16"/>
        <v/>
      </c>
      <c r="K264" s="1069"/>
      <c r="L264" s="1069"/>
      <c r="M264" s="1129" t="str">
        <f t="shared" si="17"/>
        <v/>
      </c>
      <c r="N264" s="1069"/>
      <c r="O264" s="1069"/>
      <c r="P264" s="1129" t="str">
        <f t="shared" si="18"/>
        <v/>
      </c>
      <c r="Q264" s="1069"/>
      <c r="R264" s="1069"/>
      <c r="S264" s="1129" t="str">
        <f t="shared" si="19"/>
        <v/>
      </c>
      <c r="T264" s="1068"/>
      <c r="U264" s="1069"/>
      <c r="V264" s="1267" t="str">
        <f t="shared" si="20"/>
        <v/>
      </c>
      <c r="W264" s="1062"/>
      <c r="X264" s="1062"/>
      <c r="Y264" s="1062"/>
      <c r="Z264" s="1062"/>
      <c r="AA264" s="1062"/>
      <c r="AB264" s="1062"/>
      <c r="AC264" s="1062"/>
      <c r="AD264" s="1062"/>
      <c r="AE264" s="1062"/>
      <c r="AF264" s="1062"/>
      <c r="AG264" s="1062"/>
      <c r="AH264" s="1062"/>
      <c r="AI264" s="1062"/>
      <c r="AJ264" s="1062"/>
      <c r="AK264" s="1062"/>
      <c r="AL264" s="1062"/>
      <c r="AM264" s="1062"/>
      <c r="AN264" s="1062"/>
      <c r="AO264" s="1062"/>
      <c r="AP264" s="1062"/>
      <c r="AQ264" s="1062"/>
      <c r="AR264" s="1062"/>
      <c r="AS264" s="1062"/>
      <c r="AT264" s="1062"/>
      <c r="AU264" s="1062"/>
      <c r="AV264" s="1062"/>
      <c r="AW264" s="1062"/>
    </row>
    <row r="265" spans="2:49" x14ac:dyDescent="0.2">
      <c r="B265" s="1078"/>
      <c r="C265" s="1079"/>
      <c r="D265" s="1078"/>
      <c r="E265" s="1081"/>
      <c r="F265" s="1081"/>
      <c r="G265" s="1066"/>
      <c r="H265" s="1069"/>
      <c r="I265" s="1069"/>
      <c r="J265" s="1128" t="str">
        <f t="shared" si="16"/>
        <v/>
      </c>
      <c r="K265" s="1069"/>
      <c r="L265" s="1069"/>
      <c r="M265" s="1129" t="str">
        <f t="shared" si="17"/>
        <v/>
      </c>
      <c r="N265" s="1069"/>
      <c r="O265" s="1069"/>
      <c r="P265" s="1129" t="str">
        <f t="shared" si="18"/>
        <v/>
      </c>
      <c r="Q265" s="1069"/>
      <c r="R265" s="1069"/>
      <c r="S265" s="1129" t="str">
        <f t="shared" si="19"/>
        <v/>
      </c>
      <c r="T265" s="1068"/>
      <c r="U265" s="1069"/>
      <c r="V265" s="1267" t="str">
        <f t="shared" si="20"/>
        <v/>
      </c>
      <c r="W265" s="1062"/>
      <c r="X265" s="1062"/>
      <c r="Y265" s="1062"/>
      <c r="Z265" s="1062"/>
      <c r="AA265" s="1062"/>
      <c r="AB265" s="1062"/>
      <c r="AC265" s="1062"/>
      <c r="AD265" s="1062"/>
      <c r="AE265" s="1062"/>
      <c r="AF265" s="1062"/>
      <c r="AG265" s="1062"/>
      <c r="AH265" s="1062"/>
      <c r="AI265" s="1062"/>
      <c r="AJ265" s="1062"/>
      <c r="AK265" s="1062"/>
      <c r="AL265" s="1062"/>
      <c r="AM265" s="1062"/>
      <c r="AN265" s="1062"/>
      <c r="AO265" s="1062"/>
      <c r="AP265" s="1062"/>
      <c r="AQ265" s="1062"/>
      <c r="AR265" s="1062"/>
      <c r="AS265" s="1062"/>
      <c r="AT265" s="1062"/>
      <c r="AU265" s="1062"/>
      <c r="AV265" s="1062"/>
      <c r="AW265" s="1062"/>
    </row>
    <row r="266" spans="2:49" x14ac:dyDescent="0.2">
      <c r="B266" s="1078"/>
      <c r="C266" s="1079"/>
      <c r="D266" s="1078"/>
      <c r="E266" s="1081"/>
      <c r="F266" s="1081"/>
      <c r="G266" s="1066"/>
      <c r="H266" s="1069"/>
      <c r="I266" s="1069"/>
      <c r="J266" s="1128" t="str">
        <f t="shared" si="16"/>
        <v/>
      </c>
      <c r="K266" s="1069"/>
      <c r="L266" s="1069"/>
      <c r="M266" s="1129" t="str">
        <f t="shared" si="17"/>
        <v/>
      </c>
      <c r="N266" s="1069"/>
      <c r="O266" s="1069"/>
      <c r="P266" s="1129" t="str">
        <f t="shared" si="18"/>
        <v/>
      </c>
      <c r="Q266" s="1069"/>
      <c r="R266" s="1069"/>
      <c r="S266" s="1129" t="str">
        <f t="shared" si="19"/>
        <v/>
      </c>
      <c r="T266" s="1068"/>
      <c r="U266" s="1069"/>
      <c r="V266" s="1267" t="str">
        <f t="shared" si="20"/>
        <v/>
      </c>
      <c r="W266" s="1062"/>
      <c r="X266" s="1062"/>
      <c r="Y266" s="1062"/>
      <c r="Z266" s="1062"/>
      <c r="AA266" s="1062"/>
      <c r="AB266" s="1062"/>
      <c r="AC266" s="1062"/>
      <c r="AD266" s="1062"/>
      <c r="AE266" s="1062"/>
      <c r="AF266" s="1062"/>
      <c r="AG266" s="1062"/>
      <c r="AH266" s="1062"/>
      <c r="AI266" s="1062"/>
      <c r="AJ266" s="1062"/>
      <c r="AK266" s="1062"/>
      <c r="AL266" s="1062"/>
      <c r="AM266" s="1062"/>
      <c r="AN266" s="1062"/>
      <c r="AO266" s="1062"/>
      <c r="AP266" s="1062"/>
      <c r="AQ266" s="1062"/>
      <c r="AR266" s="1062"/>
      <c r="AS266" s="1062"/>
      <c r="AT266" s="1062"/>
      <c r="AU266" s="1062"/>
      <c r="AV266" s="1062"/>
      <c r="AW266" s="1062"/>
    </row>
    <row r="267" spans="2:49" x14ac:dyDescent="0.2">
      <c r="B267" s="1078"/>
      <c r="C267" s="1079"/>
      <c r="D267" s="1078"/>
      <c r="E267" s="1081"/>
      <c r="F267" s="1081"/>
      <c r="G267" s="1066"/>
      <c r="H267" s="1069"/>
      <c r="I267" s="1069"/>
      <c r="J267" s="1128" t="str">
        <f t="shared" si="16"/>
        <v/>
      </c>
      <c r="K267" s="1069"/>
      <c r="L267" s="1069"/>
      <c r="M267" s="1129" t="str">
        <f t="shared" si="17"/>
        <v/>
      </c>
      <c r="N267" s="1069"/>
      <c r="O267" s="1069"/>
      <c r="P267" s="1129" t="str">
        <f t="shared" si="18"/>
        <v/>
      </c>
      <c r="Q267" s="1069"/>
      <c r="R267" s="1069"/>
      <c r="S267" s="1129" t="str">
        <f t="shared" si="19"/>
        <v/>
      </c>
      <c r="T267" s="1068"/>
      <c r="U267" s="1069"/>
      <c r="V267" s="1267" t="str">
        <f t="shared" si="20"/>
        <v/>
      </c>
      <c r="W267" s="1062"/>
      <c r="X267" s="1062"/>
      <c r="Y267" s="1062"/>
      <c r="Z267" s="1062"/>
      <c r="AA267" s="1062"/>
      <c r="AB267" s="1062"/>
      <c r="AC267" s="1062"/>
      <c r="AD267" s="1062"/>
      <c r="AE267" s="1062"/>
      <c r="AF267" s="1062"/>
      <c r="AG267" s="1062"/>
      <c r="AH267" s="1062"/>
      <c r="AI267" s="1062"/>
      <c r="AJ267" s="1062"/>
      <c r="AK267" s="1062"/>
      <c r="AL267" s="1062"/>
      <c r="AM267" s="1062"/>
      <c r="AN267" s="1062"/>
      <c r="AO267" s="1062"/>
      <c r="AP267" s="1062"/>
      <c r="AQ267" s="1062"/>
      <c r="AR267" s="1062"/>
      <c r="AS267" s="1062"/>
      <c r="AT267" s="1062"/>
      <c r="AU267" s="1062"/>
      <c r="AV267" s="1062"/>
      <c r="AW267" s="1062"/>
    </row>
    <row r="268" spans="2:49" x14ac:dyDescent="0.2">
      <c r="B268" s="1078"/>
      <c r="C268" s="1079"/>
      <c r="D268" s="1078"/>
      <c r="E268" s="1081"/>
      <c r="F268" s="1081"/>
      <c r="G268" s="1066"/>
      <c r="H268" s="1069"/>
      <c r="I268" s="1069"/>
      <c r="J268" s="1128" t="str">
        <f t="shared" si="16"/>
        <v/>
      </c>
      <c r="K268" s="1069"/>
      <c r="L268" s="1069"/>
      <c r="M268" s="1129" t="str">
        <f t="shared" si="17"/>
        <v/>
      </c>
      <c r="N268" s="1069"/>
      <c r="O268" s="1069"/>
      <c r="P268" s="1129" t="str">
        <f t="shared" si="18"/>
        <v/>
      </c>
      <c r="Q268" s="1069"/>
      <c r="R268" s="1069"/>
      <c r="S268" s="1129" t="str">
        <f t="shared" si="19"/>
        <v/>
      </c>
      <c r="T268" s="1068"/>
      <c r="U268" s="1069"/>
      <c r="V268" s="1267" t="str">
        <f t="shared" si="20"/>
        <v/>
      </c>
      <c r="W268" s="1062"/>
      <c r="X268" s="1062"/>
      <c r="Y268" s="1062"/>
      <c r="Z268" s="1062"/>
      <c r="AA268" s="1062"/>
      <c r="AB268" s="1062"/>
      <c r="AC268" s="1062"/>
      <c r="AD268" s="1062"/>
      <c r="AE268" s="1062"/>
      <c r="AF268" s="1062"/>
      <c r="AG268" s="1062"/>
      <c r="AH268" s="1062"/>
      <c r="AI268" s="1062"/>
      <c r="AJ268" s="1062"/>
      <c r="AK268" s="1062"/>
      <c r="AL268" s="1062"/>
      <c r="AM268" s="1062"/>
      <c r="AN268" s="1062"/>
      <c r="AO268" s="1062"/>
      <c r="AP268" s="1062"/>
      <c r="AQ268" s="1062"/>
      <c r="AR268" s="1062"/>
      <c r="AS268" s="1062"/>
      <c r="AT268" s="1062"/>
      <c r="AU268" s="1062"/>
      <c r="AV268" s="1062"/>
      <c r="AW268" s="1062"/>
    </row>
    <row r="269" spans="2:49" x14ac:dyDescent="0.2">
      <c r="B269" s="1078"/>
      <c r="C269" s="1079"/>
      <c r="D269" s="1078"/>
      <c r="E269" s="1081"/>
      <c r="F269" s="1081"/>
      <c r="G269" s="1066"/>
      <c r="H269" s="1069"/>
      <c r="I269" s="1069"/>
      <c r="J269" s="1128" t="str">
        <f t="shared" si="16"/>
        <v/>
      </c>
      <c r="K269" s="1069"/>
      <c r="L269" s="1069"/>
      <c r="M269" s="1129" t="str">
        <f t="shared" si="17"/>
        <v/>
      </c>
      <c r="N269" s="1069"/>
      <c r="O269" s="1069"/>
      <c r="P269" s="1129" t="str">
        <f t="shared" si="18"/>
        <v/>
      </c>
      <c r="Q269" s="1069"/>
      <c r="R269" s="1069"/>
      <c r="S269" s="1129" t="str">
        <f t="shared" si="19"/>
        <v/>
      </c>
      <c r="T269" s="1068"/>
      <c r="U269" s="1069"/>
      <c r="V269" s="1267" t="str">
        <f t="shared" si="20"/>
        <v/>
      </c>
      <c r="W269" s="1062"/>
      <c r="X269" s="1062"/>
      <c r="Y269" s="1062"/>
      <c r="Z269" s="1062"/>
      <c r="AA269" s="1062"/>
      <c r="AB269" s="1062"/>
      <c r="AC269" s="1062"/>
      <c r="AD269" s="1062"/>
      <c r="AE269" s="1062"/>
      <c r="AF269" s="1062"/>
      <c r="AG269" s="1062"/>
      <c r="AH269" s="1062"/>
      <c r="AI269" s="1062"/>
      <c r="AJ269" s="1062"/>
      <c r="AK269" s="1062"/>
      <c r="AL269" s="1062"/>
      <c r="AM269" s="1062"/>
      <c r="AN269" s="1062"/>
      <c r="AO269" s="1062"/>
      <c r="AP269" s="1062"/>
      <c r="AQ269" s="1062"/>
      <c r="AR269" s="1062"/>
      <c r="AS269" s="1062"/>
      <c r="AT269" s="1062"/>
      <c r="AU269" s="1062"/>
      <c r="AV269" s="1062"/>
      <c r="AW269" s="1062"/>
    </row>
    <row r="270" spans="2:49" x14ac:dyDescent="0.2">
      <c r="B270" s="1078"/>
      <c r="C270" s="1079"/>
      <c r="D270" s="1078"/>
      <c r="E270" s="1081"/>
      <c r="F270" s="1081"/>
      <c r="G270" s="1066"/>
      <c r="H270" s="1069"/>
      <c r="I270" s="1069"/>
      <c r="J270" s="1128" t="str">
        <f t="shared" si="16"/>
        <v/>
      </c>
      <c r="K270" s="1069"/>
      <c r="L270" s="1069"/>
      <c r="M270" s="1129" t="str">
        <f t="shared" si="17"/>
        <v/>
      </c>
      <c r="N270" s="1069"/>
      <c r="O270" s="1069"/>
      <c r="P270" s="1129" t="str">
        <f t="shared" si="18"/>
        <v/>
      </c>
      <c r="Q270" s="1069"/>
      <c r="R270" s="1069"/>
      <c r="S270" s="1129" t="str">
        <f t="shared" si="19"/>
        <v/>
      </c>
      <c r="T270" s="1068"/>
      <c r="U270" s="1069"/>
      <c r="V270" s="1267" t="str">
        <f t="shared" si="20"/>
        <v/>
      </c>
      <c r="W270" s="1062"/>
      <c r="X270" s="1062"/>
      <c r="Y270" s="1062"/>
      <c r="Z270" s="1062"/>
      <c r="AA270" s="1062"/>
      <c r="AB270" s="1062"/>
      <c r="AC270" s="1062"/>
      <c r="AD270" s="1062"/>
      <c r="AE270" s="1062"/>
      <c r="AF270" s="1062"/>
      <c r="AG270" s="1062"/>
      <c r="AH270" s="1062"/>
      <c r="AI270" s="1062"/>
      <c r="AJ270" s="1062"/>
      <c r="AK270" s="1062"/>
      <c r="AL270" s="1062"/>
      <c r="AM270" s="1062"/>
      <c r="AN270" s="1062"/>
      <c r="AO270" s="1062"/>
      <c r="AP270" s="1062"/>
      <c r="AQ270" s="1062"/>
      <c r="AR270" s="1062"/>
      <c r="AS270" s="1062"/>
      <c r="AT270" s="1062"/>
      <c r="AU270" s="1062"/>
      <c r="AV270" s="1062"/>
      <c r="AW270" s="1062"/>
    </row>
    <row r="271" spans="2:49" x14ac:dyDescent="0.2">
      <c r="B271" s="1078"/>
      <c r="C271" s="1079"/>
      <c r="D271" s="1078"/>
      <c r="E271" s="1081"/>
      <c r="F271" s="1081"/>
      <c r="G271" s="1066"/>
      <c r="H271" s="1069"/>
      <c r="I271" s="1069"/>
      <c r="J271" s="1128" t="str">
        <f t="shared" si="16"/>
        <v/>
      </c>
      <c r="K271" s="1069"/>
      <c r="L271" s="1069"/>
      <c r="M271" s="1129" t="str">
        <f t="shared" si="17"/>
        <v/>
      </c>
      <c r="N271" s="1069"/>
      <c r="O271" s="1069"/>
      <c r="P271" s="1129" t="str">
        <f t="shared" si="18"/>
        <v/>
      </c>
      <c r="Q271" s="1069"/>
      <c r="R271" s="1069"/>
      <c r="S271" s="1129" t="str">
        <f t="shared" si="19"/>
        <v/>
      </c>
      <c r="T271" s="1068"/>
      <c r="U271" s="1069"/>
      <c r="V271" s="1267" t="str">
        <f t="shared" si="20"/>
        <v/>
      </c>
      <c r="W271" s="1062"/>
      <c r="X271" s="1062"/>
      <c r="Y271" s="1062"/>
      <c r="Z271" s="1062"/>
      <c r="AA271" s="1062"/>
      <c r="AB271" s="1062"/>
      <c r="AC271" s="1062"/>
      <c r="AD271" s="1062"/>
      <c r="AE271" s="1062"/>
      <c r="AF271" s="1062"/>
      <c r="AG271" s="1062"/>
      <c r="AH271" s="1062"/>
      <c r="AI271" s="1062"/>
      <c r="AJ271" s="1062"/>
      <c r="AK271" s="1062"/>
      <c r="AL271" s="1062"/>
      <c r="AM271" s="1062"/>
      <c r="AN271" s="1062"/>
      <c r="AO271" s="1062"/>
      <c r="AP271" s="1062"/>
      <c r="AQ271" s="1062"/>
      <c r="AR271" s="1062"/>
      <c r="AS271" s="1062"/>
      <c r="AT271" s="1062"/>
      <c r="AU271" s="1062"/>
      <c r="AV271" s="1062"/>
      <c r="AW271" s="1062"/>
    </row>
    <row r="272" spans="2:49" x14ac:dyDescent="0.2">
      <c r="B272" s="1078"/>
      <c r="C272" s="1079"/>
      <c r="D272" s="1078"/>
      <c r="E272" s="1081"/>
      <c r="F272" s="1081"/>
      <c r="G272" s="1066"/>
      <c r="H272" s="1069"/>
      <c r="I272" s="1069"/>
      <c r="J272" s="1128" t="str">
        <f t="shared" si="16"/>
        <v/>
      </c>
      <c r="K272" s="1069"/>
      <c r="L272" s="1069"/>
      <c r="M272" s="1129" t="str">
        <f t="shared" si="17"/>
        <v/>
      </c>
      <c r="N272" s="1069"/>
      <c r="O272" s="1069"/>
      <c r="P272" s="1129" t="str">
        <f t="shared" si="18"/>
        <v/>
      </c>
      <c r="Q272" s="1069"/>
      <c r="R272" s="1069"/>
      <c r="S272" s="1129" t="str">
        <f t="shared" si="19"/>
        <v/>
      </c>
      <c r="T272" s="1068"/>
      <c r="U272" s="1069"/>
      <c r="V272" s="1267" t="str">
        <f t="shared" si="20"/>
        <v/>
      </c>
      <c r="W272" s="1062"/>
      <c r="X272" s="1062"/>
      <c r="Y272" s="1062"/>
      <c r="Z272" s="1062"/>
      <c r="AA272" s="1062"/>
      <c r="AB272" s="1062"/>
      <c r="AC272" s="1062"/>
      <c r="AD272" s="1062"/>
      <c r="AE272" s="1062"/>
      <c r="AF272" s="1062"/>
      <c r="AG272" s="1062"/>
      <c r="AH272" s="1062"/>
      <c r="AI272" s="1062"/>
      <c r="AJ272" s="1062"/>
      <c r="AK272" s="1062"/>
      <c r="AL272" s="1062"/>
      <c r="AM272" s="1062"/>
      <c r="AN272" s="1062"/>
      <c r="AO272" s="1062"/>
      <c r="AP272" s="1062"/>
      <c r="AQ272" s="1062"/>
      <c r="AR272" s="1062"/>
      <c r="AS272" s="1062"/>
      <c r="AT272" s="1062"/>
      <c r="AU272" s="1062"/>
      <c r="AV272" s="1062"/>
      <c r="AW272" s="1062"/>
    </row>
    <row r="273" spans="2:49" x14ac:dyDescent="0.2">
      <c r="B273" s="1078"/>
      <c r="C273" s="1079"/>
      <c r="D273" s="1078"/>
      <c r="E273" s="1084"/>
      <c r="F273" s="1084"/>
      <c r="G273" s="1066"/>
      <c r="H273" s="1069"/>
      <c r="I273" s="1069"/>
      <c r="J273" s="1128" t="str">
        <f t="shared" si="16"/>
        <v/>
      </c>
      <c r="K273" s="1069"/>
      <c r="L273" s="1069"/>
      <c r="M273" s="1129" t="str">
        <f t="shared" si="17"/>
        <v/>
      </c>
      <c r="N273" s="1069"/>
      <c r="O273" s="1069"/>
      <c r="P273" s="1129" t="str">
        <f t="shared" si="18"/>
        <v/>
      </c>
      <c r="Q273" s="1069"/>
      <c r="R273" s="1069"/>
      <c r="S273" s="1129" t="str">
        <f t="shared" si="19"/>
        <v/>
      </c>
      <c r="T273" s="1068"/>
      <c r="U273" s="1069"/>
      <c r="V273" s="1267" t="str">
        <f t="shared" si="20"/>
        <v/>
      </c>
      <c r="W273" s="1062"/>
      <c r="X273" s="1062"/>
      <c r="Y273" s="1062"/>
      <c r="Z273" s="1062"/>
      <c r="AA273" s="1062"/>
      <c r="AB273" s="1062"/>
      <c r="AC273" s="1062"/>
      <c r="AD273" s="1062"/>
      <c r="AE273" s="1062"/>
      <c r="AF273" s="1062"/>
      <c r="AG273" s="1062"/>
      <c r="AH273" s="1062"/>
      <c r="AI273" s="1062"/>
      <c r="AJ273" s="1062"/>
      <c r="AK273" s="1062"/>
      <c r="AL273" s="1062"/>
      <c r="AM273" s="1062"/>
      <c r="AN273" s="1062"/>
      <c r="AO273" s="1062"/>
      <c r="AP273" s="1062"/>
      <c r="AQ273" s="1062"/>
      <c r="AR273" s="1062"/>
      <c r="AS273" s="1062"/>
      <c r="AT273" s="1062"/>
      <c r="AU273" s="1062"/>
      <c r="AV273" s="1062"/>
      <c r="AW273" s="1062"/>
    </row>
    <row r="274" spans="2:49" x14ac:dyDescent="0.2">
      <c r="B274" s="1078"/>
      <c r="C274" s="1079"/>
      <c r="D274" s="1078"/>
      <c r="E274" s="1084"/>
      <c r="F274" s="1084"/>
      <c r="G274" s="1066"/>
      <c r="H274" s="1069"/>
      <c r="I274" s="1069"/>
      <c r="J274" s="1128" t="str">
        <f t="shared" si="16"/>
        <v/>
      </c>
      <c r="K274" s="1069"/>
      <c r="L274" s="1069"/>
      <c r="M274" s="1129" t="str">
        <f t="shared" si="17"/>
        <v/>
      </c>
      <c r="N274" s="1069"/>
      <c r="O274" s="1069"/>
      <c r="P274" s="1129" t="str">
        <f t="shared" si="18"/>
        <v/>
      </c>
      <c r="Q274" s="1069"/>
      <c r="R274" s="1069"/>
      <c r="S274" s="1129" t="str">
        <f t="shared" si="19"/>
        <v/>
      </c>
      <c r="T274" s="1068"/>
      <c r="U274" s="1069"/>
      <c r="V274" s="1267" t="str">
        <f t="shared" si="20"/>
        <v/>
      </c>
      <c r="W274" s="1062"/>
      <c r="X274" s="1062"/>
      <c r="Y274" s="1062"/>
      <c r="Z274" s="1062"/>
      <c r="AA274" s="1062"/>
      <c r="AB274" s="1062"/>
      <c r="AC274" s="1062"/>
      <c r="AD274" s="1062"/>
      <c r="AE274" s="1062"/>
      <c r="AF274" s="1062"/>
      <c r="AG274" s="1062"/>
      <c r="AH274" s="1062"/>
      <c r="AI274" s="1062"/>
      <c r="AJ274" s="1062"/>
      <c r="AK274" s="1062"/>
      <c r="AL274" s="1062"/>
      <c r="AM274" s="1062"/>
      <c r="AN274" s="1062"/>
      <c r="AO274" s="1062"/>
      <c r="AP274" s="1062"/>
      <c r="AQ274" s="1062"/>
      <c r="AR274" s="1062"/>
      <c r="AS274" s="1062"/>
      <c r="AT274" s="1062"/>
      <c r="AU274" s="1062"/>
      <c r="AV274" s="1062"/>
      <c r="AW274" s="1062"/>
    </row>
    <row r="275" spans="2:49" x14ac:dyDescent="0.2">
      <c r="B275" s="1078"/>
      <c r="C275" s="1079"/>
      <c r="D275" s="1078"/>
      <c r="E275" s="1084"/>
      <c r="F275" s="1084"/>
      <c r="G275" s="1066"/>
      <c r="H275" s="1069"/>
      <c r="I275" s="1069"/>
      <c r="J275" s="1128" t="str">
        <f t="shared" si="16"/>
        <v/>
      </c>
      <c r="K275" s="1069"/>
      <c r="L275" s="1069"/>
      <c r="M275" s="1129" t="str">
        <f t="shared" si="17"/>
        <v/>
      </c>
      <c r="N275" s="1069"/>
      <c r="O275" s="1069"/>
      <c r="P275" s="1129" t="str">
        <f t="shared" si="18"/>
        <v/>
      </c>
      <c r="Q275" s="1069"/>
      <c r="R275" s="1069"/>
      <c r="S275" s="1129" t="str">
        <f t="shared" si="19"/>
        <v/>
      </c>
      <c r="T275" s="1068"/>
      <c r="U275" s="1069"/>
      <c r="V275" s="1267" t="str">
        <f t="shared" si="20"/>
        <v/>
      </c>
      <c r="W275" s="1062"/>
      <c r="X275" s="1062"/>
      <c r="Y275" s="1062"/>
      <c r="Z275" s="1062"/>
      <c r="AA275" s="1062"/>
      <c r="AB275" s="1062"/>
      <c r="AC275" s="1062"/>
      <c r="AD275" s="1062"/>
      <c r="AE275" s="1062"/>
      <c r="AF275" s="1062"/>
      <c r="AG275" s="1062"/>
      <c r="AH275" s="1062"/>
      <c r="AI275" s="1062"/>
      <c r="AJ275" s="1062"/>
      <c r="AK275" s="1062"/>
      <c r="AL275" s="1062"/>
      <c r="AM275" s="1062"/>
      <c r="AN275" s="1062"/>
      <c r="AO275" s="1062"/>
      <c r="AP275" s="1062"/>
      <c r="AQ275" s="1062"/>
      <c r="AR275" s="1062"/>
      <c r="AS275" s="1062"/>
      <c r="AT275" s="1062"/>
      <c r="AU275" s="1062"/>
      <c r="AV275" s="1062"/>
      <c r="AW275" s="1062"/>
    </row>
    <row r="276" spans="2:49" x14ac:dyDescent="0.2">
      <c r="B276" s="1078"/>
      <c r="C276" s="1079"/>
      <c r="D276" s="1078"/>
      <c r="E276" s="1084"/>
      <c r="F276" s="1084"/>
      <c r="G276" s="1066"/>
      <c r="H276" s="1069"/>
      <c r="I276" s="1069"/>
      <c r="J276" s="1128" t="str">
        <f t="shared" si="16"/>
        <v/>
      </c>
      <c r="K276" s="1069"/>
      <c r="L276" s="1069"/>
      <c r="M276" s="1129" t="str">
        <f t="shared" si="17"/>
        <v/>
      </c>
      <c r="N276" s="1069"/>
      <c r="O276" s="1069"/>
      <c r="P276" s="1129" t="str">
        <f t="shared" si="18"/>
        <v/>
      </c>
      <c r="Q276" s="1069"/>
      <c r="R276" s="1069"/>
      <c r="S276" s="1129" t="str">
        <f t="shared" si="19"/>
        <v/>
      </c>
      <c r="T276" s="1068"/>
      <c r="U276" s="1069"/>
      <c r="V276" s="1267" t="str">
        <f t="shared" si="20"/>
        <v/>
      </c>
      <c r="W276" s="1062"/>
      <c r="X276" s="1062"/>
      <c r="Y276" s="1062"/>
      <c r="Z276" s="1062"/>
      <c r="AA276" s="1062"/>
      <c r="AB276" s="1062"/>
      <c r="AC276" s="1062"/>
      <c r="AD276" s="1062"/>
      <c r="AE276" s="1062"/>
      <c r="AF276" s="1062"/>
      <c r="AG276" s="1062"/>
      <c r="AH276" s="1062"/>
      <c r="AI276" s="1062"/>
      <c r="AJ276" s="1062"/>
      <c r="AK276" s="1062"/>
      <c r="AL276" s="1062"/>
      <c r="AM276" s="1062"/>
      <c r="AN276" s="1062"/>
      <c r="AO276" s="1062"/>
      <c r="AP276" s="1062"/>
      <c r="AQ276" s="1062"/>
      <c r="AR276" s="1062"/>
      <c r="AS276" s="1062"/>
      <c r="AT276" s="1062"/>
      <c r="AU276" s="1062"/>
      <c r="AV276" s="1062"/>
      <c r="AW276" s="1062"/>
    </row>
    <row r="277" spans="2:49" x14ac:dyDescent="0.2">
      <c r="B277" s="1078"/>
      <c r="C277" s="1079"/>
      <c r="D277" s="1078"/>
      <c r="E277" s="1084"/>
      <c r="F277" s="1084"/>
      <c r="G277" s="1066"/>
      <c r="H277" s="1069"/>
      <c r="I277" s="1069"/>
      <c r="J277" s="1128" t="str">
        <f t="shared" si="16"/>
        <v/>
      </c>
      <c r="K277" s="1069"/>
      <c r="L277" s="1069"/>
      <c r="M277" s="1129" t="str">
        <f t="shared" si="17"/>
        <v/>
      </c>
      <c r="N277" s="1069"/>
      <c r="O277" s="1069"/>
      <c r="P277" s="1129" t="str">
        <f t="shared" si="18"/>
        <v/>
      </c>
      <c r="Q277" s="1069"/>
      <c r="R277" s="1069"/>
      <c r="S277" s="1129" t="str">
        <f t="shared" si="19"/>
        <v/>
      </c>
      <c r="T277" s="1068"/>
      <c r="U277" s="1069"/>
      <c r="V277" s="1267" t="str">
        <f t="shared" si="20"/>
        <v/>
      </c>
      <c r="W277" s="1062"/>
      <c r="X277" s="1062"/>
      <c r="Y277" s="1062"/>
      <c r="Z277" s="1062"/>
      <c r="AA277" s="1062"/>
      <c r="AB277" s="1062"/>
      <c r="AC277" s="1062"/>
      <c r="AD277" s="1062"/>
      <c r="AE277" s="1062"/>
      <c r="AF277" s="1062"/>
      <c r="AG277" s="1062"/>
      <c r="AH277" s="1062"/>
      <c r="AI277" s="1062"/>
      <c r="AJ277" s="1062"/>
      <c r="AK277" s="1062"/>
      <c r="AL277" s="1062"/>
      <c r="AM277" s="1062"/>
      <c r="AN277" s="1062"/>
      <c r="AO277" s="1062"/>
      <c r="AP277" s="1062"/>
      <c r="AQ277" s="1062"/>
      <c r="AR277" s="1062"/>
      <c r="AS277" s="1062"/>
      <c r="AT277" s="1062"/>
      <c r="AU277" s="1062"/>
      <c r="AV277" s="1062"/>
      <c r="AW277" s="1062"/>
    </row>
    <row r="278" spans="2:49" x14ac:dyDescent="0.2">
      <c r="B278" s="1078"/>
      <c r="C278" s="1079"/>
      <c r="D278" s="1078"/>
      <c r="E278" s="1084"/>
      <c r="F278" s="1084"/>
      <c r="G278" s="1066"/>
      <c r="H278" s="1069"/>
      <c r="I278" s="1069"/>
      <c r="J278" s="1128" t="str">
        <f t="shared" si="16"/>
        <v/>
      </c>
      <c r="K278" s="1069"/>
      <c r="L278" s="1069"/>
      <c r="M278" s="1129" t="str">
        <f t="shared" si="17"/>
        <v/>
      </c>
      <c r="N278" s="1069"/>
      <c r="O278" s="1069"/>
      <c r="P278" s="1129" t="str">
        <f t="shared" si="18"/>
        <v/>
      </c>
      <c r="Q278" s="1069"/>
      <c r="R278" s="1069"/>
      <c r="S278" s="1129" t="str">
        <f t="shared" si="19"/>
        <v/>
      </c>
      <c r="T278" s="1068"/>
      <c r="U278" s="1069"/>
      <c r="V278" s="1267" t="str">
        <f t="shared" si="20"/>
        <v/>
      </c>
      <c r="W278" s="1062"/>
      <c r="X278" s="1062"/>
      <c r="Y278" s="1062"/>
      <c r="Z278" s="1062"/>
      <c r="AA278" s="1062"/>
      <c r="AB278" s="1062"/>
      <c r="AC278" s="1062"/>
      <c r="AD278" s="1062"/>
      <c r="AE278" s="1062"/>
      <c r="AF278" s="1062"/>
      <c r="AG278" s="1062"/>
      <c r="AH278" s="1062"/>
      <c r="AI278" s="1062"/>
      <c r="AJ278" s="1062"/>
      <c r="AK278" s="1062"/>
      <c r="AL278" s="1062"/>
      <c r="AM278" s="1062"/>
      <c r="AN278" s="1062"/>
      <c r="AO278" s="1062"/>
      <c r="AP278" s="1062"/>
      <c r="AQ278" s="1062"/>
      <c r="AR278" s="1062"/>
      <c r="AS278" s="1062"/>
      <c r="AT278" s="1062"/>
      <c r="AU278" s="1062"/>
      <c r="AV278" s="1062"/>
      <c r="AW278" s="1062"/>
    </row>
    <row r="279" spans="2:49" x14ac:dyDescent="0.2">
      <c r="B279" s="1078"/>
      <c r="C279" s="1079"/>
      <c r="D279" s="1078"/>
      <c r="E279" s="1084"/>
      <c r="F279" s="1084"/>
      <c r="G279" s="1066"/>
      <c r="H279" s="1069"/>
      <c r="I279" s="1069"/>
      <c r="J279" s="1128" t="str">
        <f t="shared" si="16"/>
        <v/>
      </c>
      <c r="K279" s="1069"/>
      <c r="L279" s="1069"/>
      <c r="M279" s="1129" t="str">
        <f t="shared" si="17"/>
        <v/>
      </c>
      <c r="N279" s="1069"/>
      <c r="O279" s="1069"/>
      <c r="P279" s="1129" t="str">
        <f t="shared" si="18"/>
        <v/>
      </c>
      <c r="Q279" s="1069"/>
      <c r="R279" s="1069"/>
      <c r="S279" s="1129" t="str">
        <f t="shared" si="19"/>
        <v/>
      </c>
      <c r="T279" s="1068"/>
      <c r="U279" s="1069"/>
      <c r="V279" s="1267" t="str">
        <f t="shared" si="20"/>
        <v/>
      </c>
      <c r="W279" s="1062"/>
      <c r="X279" s="1062"/>
      <c r="Y279" s="1062"/>
      <c r="Z279" s="1062"/>
      <c r="AA279" s="1062"/>
      <c r="AB279" s="1062"/>
      <c r="AC279" s="1062"/>
      <c r="AD279" s="1062"/>
      <c r="AE279" s="1062"/>
      <c r="AF279" s="1062"/>
      <c r="AG279" s="1062"/>
      <c r="AH279" s="1062"/>
      <c r="AI279" s="1062"/>
      <c r="AJ279" s="1062"/>
      <c r="AK279" s="1062"/>
      <c r="AL279" s="1062"/>
      <c r="AM279" s="1062"/>
      <c r="AN279" s="1062"/>
      <c r="AO279" s="1062"/>
      <c r="AP279" s="1062"/>
      <c r="AQ279" s="1062"/>
      <c r="AR279" s="1062"/>
      <c r="AS279" s="1062"/>
      <c r="AT279" s="1062"/>
      <c r="AU279" s="1062"/>
      <c r="AV279" s="1062"/>
      <c r="AW279" s="1062"/>
    </row>
    <row r="280" spans="2:49" x14ac:dyDescent="0.2">
      <c r="B280" s="1078"/>
      <c r="C280" s="1079"/>
      <c r="D280" s="1078"/>
      <c r="E280" s="1084"/>
      <c r="F280" s="1084"/>
      <c r="G280" s="1066"/>
      <c r="H280" s="1069"/>
      <c r="I280" s="1069"/>
      <c r="J280" s="1128" t="str">
        <f t="shared" si="16"/>
        <v/>
      </c>
      <c r="K280" s="1069"/>
      <c r="L280" s="1069"/>
      <c r="M280" s="1129" t="str">
        <f t="shared" si="17"/>
        <v/>
      </c>
      <c r="N280" s="1069"/>
      <c r="O280" s="1069"/>
      <c r="P280" s="1129" t="str">
        <f t="shared" si="18"/>
        <v/>
      </c>
      <c r="Q280" s="1069"/>
      <c r="R280" s="1069"/>
      <c r="S280" s="1129" t="str">
        <f t="shared" si="19"/>
        <v/>
      </c>
      <c r="T280" s="1068"/>
      <c r="U280" s="1069"/>
      <c r="V280" s="1267" t="str">
        <f t="shared" si="20"/>
        <v/>
      </c>
      <c r="W280" s="1062"/>
      <c r="X280" s="1062"/>
      <c r="Y280" s="1062"/>
      <c r="Z280" s="1062"/>
      <c r="AA280" s="1062"/>
      <c r="AB280" s="1062"/>
      <c r="AC280" s="1062"/>
      <c r="AD280" s="1062"/>
      <c r="AE280" s="1062"/>
      <c r="AF280" s="1062"/>
      <c r="AG280" s="1062"/>
      <c r="AH280" s="1062"/>
      <c r="AI280" s="1062"/>
      <c r="AJ280" s="1062"/>
      <c r="AK280" s="1062"/>
      <c r="AL280" s="1062"/>
      <c r="AM280" s="1062"/>
      <c r="AN280" s="1062"/>
      <c r="AO280" s="1062"/>
      <c r="AP280" s="1062"/>
      <c r="AQ280" s="1062"/>
      <c r="AR280" s="1062"/>
      <c r="AS280" s="1062"/>
      <c r="AT280" s="1062"/>
      <c r="AU280" s="1062"/>
      <c r="AV280" s="1062"/>
      <c r="AW280" s="1062"/>
    </row>
    <row r="281" spans="2:49" x14ac:dyDescent="0.2">
      <c r="B281" s="1078"/>
      <c r="C281" s="1079"/>
      <c r="D281" s="1078"/>
      <c r="E281" s="1084"/>
      <c r="F281" s="1084"/>
      <c r="G281" s="1066"/>
      <c r="H281" s="1069"/>
      <c r="I281" s="1069"/>
      <c r="J281" s="1128" t="str">
        <f t="shared" si="16"/>
        <v/>
      </c>
      <c r="K281" s="1069"/>
      <c r="L281" s="1069"/>
      <c r="M281" s="1129" t="str">
        <f t="shared" si="17"/>
        <v/>
      </c>
      <c r="N281" s="1069"/>
      <c r="O281" s="1069"/>
      <c r="P281" s="1129" t="str">
        <f t="shared" si="18"/>
        <v/>
      </c>
      <c r="Q281" s="1069"/>
      <c r="R281" s="1069"/>
      <c r="S281" s="1129" t="str">
        <f t="shared" si="19"/>
        <v/>
      </c>
      <c r="T281" s="1068"/>
      <c r="U281" s="1069"/>
      <c r="V281" s="1267" t="str">
        <f t="shared" si="20"/>
        <v/>
      </c>
      <c r="W281" s="1062"/>
      <c r="X281" s="1062"/>
      <c r="Y281" s="1062"/>
      <c r="Z281" s="1062"/>
      <c r="AA281" s="1062"/>
      <c r="AB281" s="1062"/>
      <c r="AC281" s="1062"/>
      <c r="AD281" s="1062"/>
      <c r="AE281" s="1062"/>
      <c r="AF281" s="1062"/>
      <c r="AG281" s="1062"/>
      <c r="AH281" s="1062"/>
      <c r="AI281" s="1062"/>
      <c r="AJ281" s="1062"/>
      <c r="AK281" s="1062"/>
      <c r="AL281" s="1062"/>
      <c r="AM281" s="1062"/>
      <c r="AN281" s="1062"/>
      <c r="AO281" s="1062"/>
      <c r="AP281" s="1062"/>
      <c r="AQ281" s="1062"/>
      <c r="AR281" s="1062"/>
      <c r="AS281" s="1062"/>
      <c r="AT281" s="1062"/>
      <c r="AU281" s="1062"/>
      <c r="AV281" s="1062"/>
      <c r="AW281" s="1062"/>
    </row>
    <row r="282" spans="2:49" x14ac:dyDescent="0.2">
      <c r="B282" s="1078"/>
      <c r="C282" s="1079"/>
      <c r="D282" s="1078"/>
      <c r="E282" s="1084"/>
      <c r="F282" s="1084"/>
      <c r="G282" s="1066"/>
      <c r="H282" s="1069"/>
      <c r="I282" s="1069"/>
      <c r="J282" s="1128" t="str">
        <f t="shared" ref="J282:J345" si="21">IF(AND(H282=0,I282=0),"",IF(I282&lt;&gt;0,IF(I282&gt;H282,"100",I282/H282*100),0))</f>
        <v/>
      </c>
      <c r="K282" s="1069"/>
      <c r="L282" s="1069"/>
      <c r="M282" s="1129" t="str">
        <f t="shared" ref="M282:M345" si="22">IF(AND(K282=0,L282=0),"",IF(L282&lt;&gt;0,IF(L282&gt;K282,"100",L282/K282*100),0))</f>
        <v/>
      </c>
      <c r="N282" s="1069"/>
      <c r="O282" s="1069"/>
      <c r="P282" s="1129" t="str">
        <f t="shared" ref="P282:P345" si="23">IF(AND(N282=0,O282=0),"",IF(O282&lt;&gt;0,IF(O282&gt;N282,"100",O282/N282*100),0))</f>
        <v/>
      </c>
      <c r="Q282" s="1069"/>
      <c r="R282" s="1069"/>
      <c r="S282" s="1129" t="str">
        <f t="shared" ref="S282:S345" si="24">IF(AND(Q282=0,R282=0),"",IF(R282&lt;&gt;0,IF(R282&gt;Q282,"100",R282/Q282*100),0))</f>
        <v/>
      </c>
      <c r="T282" s="1068"/>
      <c r="U282" s="1069"/>
      <c r="V282" s="1267" t="str">
        <f t="shared" ref="V282:V345" si="25">IF(AND(T282=0,U282=0),"",IF(U282&lt;&gt;0,IF(U282&gt;T282,"100",U282/T282*100),0))</f>
        <v/>
      </c>
      <c r="W282" s="1062"/>
      <c r="X282" s="1062"/>
      <c r="Y282" s="1062"/>
      <c r="Z282" s="1062"/>
      <c r="AA282" s="1062"/>
      <c r="AB282" s="1062"/>
      <c r="AC282" s="1062"/>
      <c r="AD282" s="1062"/>
      <c r="AE282" s="1062"/>
      <c r="AF282" s="1062"/>
      <c r="AG282" s="1062"/>
      <c r="AH282" s="1062"/>
      <c r="AI282" s="1062"/>
      <c r="AJ282" s="1062"/>
      <c r="AK282" s="1062"/>
      <c r="AL282" s="1062"/>
      <c r="AM282" s="1062"/>
      <c r="AN282" s="1062"/>
      <c r="AO282" s="1062"/>
      <c r="AP282" s="1062"/>
      <c r="AQ282" s="1062"/>
      <c r="AR282" s="1062"/>
      <c r="AS282" s="1062"/>
      <c r="AT282" s="1062"/>
      <c r="AU282" s="1062"/>
      <c r="AV282" s="1062"/>
      <c r="AW282" s="1062"/>
    </row>
    <row r="283" spans="2:49" x14ac:dyDescent="0.2">
      <c r="B283" s="1078"/>
      <c r="C283" s="1079"/>
      <c r="D283" s="1078"/>
      <c r="E283" s="1085"/>
      <c r="F283" s="1085"/>
      <c r="G283" s="1066"/>
      <c r="H283" s="1069"/>
      <c r="I283" s="1069"/>
      <c r="J283" s="1128" t="str">
        <f t="shared" si="21"/>
        <v/>
      </c>
      <c r="K283" s="1069"/>
      <c r="L283" s="1069"/>
      <c r="M283" s="1129" t="str">
        <f t="shared" si="22"/>
        <v/>
      </c>
      <c r="N283" s="1069"/>
      <c r="O283" s="1069"/>
      <c r="P283" s="1129" t="str">
        <f t="shared" si="23"/>
        <v/>
      </c>
      <c r="Q283" s="1069"/>
      <c r="R283" s="1069"/>
      <c r="S283" s="1129" t="str">
        <f t="shared" si="24"/>
        <v/>
      </c>
      <c r="T283" s="1068"/>
      <c r="U283" s="1069"/>
      <c r="V283" s="1267" t="str">
        <f t="shared" si="25"/>
        <v/>
      </c>
      <c r="W283" s="1062"/>
      <c r="X283" s="1062"/>
      <c r="Y283" s="1062"/>
      <c r="Z283" s="1062"/>
      <c r="AA283" s="1062"/>
      <c r="AB283" s="1062"/>
      <c r="AC283" s="1062"/>
      <c r="AD283" s="1062"/>
      <c r="AE283" s="1062"/>
      <c r="AF283" s="1062"/>
      <c r="AG283" s="1062"/>
      <c r="AH283" s="1062"/>
      <c r="AI283" s="1062"/>
      <c r="AJ283" s="1062"/>
      <c r="AK283" s="1062"/>
      <c r="AL283" s="1062"/>
      <c r="AM283" s="1062"/>
      <c r="AN283" s="1062"/>
      <c r="AO283" s="1062"/>
      <c r="AP283" s="1062"/>
      <c r="AQ283" s="1062"/>
      <c r="AR283" s="1062"/>
      <c r="AS283" s="1062"/>
      <c r="AT283" s="1062"/>
      <c r="AU283" s="1062"/>
      <c r="AV283" s="1062"/>
      <c r="AW283" s="1062"/>
    </row>
    <row r="284" spans="2:49" x14ac:dyDescent="0.2">
      <c r="B284" s="1078"/>
      <c r="C284" s="1079"/>
      <c r="D284" s="1078"/>
      <c r="E284" s="1085"/>
      <c r="F284" s="1085"/>
      <c r="G284" s="1066"/>
      <c r="H284" s="1069"/>
      <c r="I284" s="1069"/>
      <c r="J284" s="1128" t="str">
        <f t="shared" si="21"/>
        <v/>
      </c>
      <c r="K284" s="1069"/>
      <c r="L284" s="1069"/>
      <c r="M284" s="1129" t="str">
        <f t="shared" si="22"/>
        <v/>
      </c>
      <c r="N284" s="1069"/>
      <c r="O284" s="1069"/>
      <c r="P284" s="1129" t="str">
        <f t="shared" si="23"/>
        <v/>
      </c>
      <c r="Q284" s="1069"/>
      <c r="R284" s="1069"/>
      <c r="S284" s="1129" t="str">
        <f t="shared" si="24"/>
        <v/>
      </c>
      <c r="T284" s="1068"/>
      <c r="U284" s="1069"/>
      <c r="V284" s="1267" t="str">
        <f t="shared" si="25"/>
        <v/>
      </c>
      <c r="W284" s="1062"/>
      <c r="X284" s="1062"/>
      <c r="Y284" s="1062"/>
      <c r="Z284" s="1062"/>
      <c r="AA284" s="1062"/>
      <c r="AB284" s="1062"/>
      <c r="AC284" s="1062"/>
      <c r="AD284" s="1062"/>
      <c r="AE284" s="1062"/>
      <c r="AF284" s="1062"/>
      <c r="AG284" s="1062"/>
      <c r="AH284" s="1062"/>
      <c r="AI284" s="1062"/>
      <c r="AJ284" s="1062"/>
      <c r="AK284" s="1062"/>
      <c r="AL284" s="1062"/>
      <c r="AM284" s="1062"/>
      <c r="AN284" s="1062"/>
      <c r="AO284" s="1062"/>
      <c r="AP284" s="1062"/>
      <c r="AQ284" s="1062"/>
      <c r="AR284" s="1062"/>
      <c r="AS284" s="1062"/>
      <c r="AT284" s="1062"/>
      <c r="AU284" s="1062"/>
      <c r="AV284" s="1062"/>
      <c r="AW284" s="1062"/>
    </row>
    <row r="285" spans="2:49" x14ac:dyDescent="0.2">
      <c r="B285" s="1078"/>
      <c r="C285" s="1079"/>
      <c r="D285" s="1078"/>
      <c r="E285" s="1086"/>
      <c r="F285" s="1086"/>
      <c r="G285" s="1066"/>
      <c r="H285" s="1069"/>
      <c r="I285" s="1069"/>
      <c r="J285" s="1128" t="str">
        <f t="shared" si="21"/>
        <v/>
      </c>
      <c r="K285" s="1069"/>
      <c r="L285" s="1069"/>
      <c r="M285" s="1129" t="str">
        <f t="shared" si="22"/>
        <v/>
      </c>
      <c r="N285" s="1069"/>
      <c r="O285" s="1069"/>
      <c r="P285" s="1129" t="str">
        <f t="shared" si="23"/>
        <v/>
      </c>
      <c r="Q285" s="1069"/>
      <c r="R285" s="1069"/>
      <c r="S285" s="1129" t="str">
        <f t="shared" si="24"/>
        <v/>
      </c>
      <c r="T285" s="1068"/>
      <c r="U285" s="1069"/>
      <c r="V285" s="1267" t="str">
        <f t="shared" si="25"/>
        <v/>
      </c>
      <c r="W285" s="1062"/>
      <c r="X285" s="1062"/>
      <c r="Y285" s="1062"/>
      <c r="Z285" s="1062"/>
      <c r="AA285" s="1062"/>
      <c r="AB285" s="1062"/>
      <c r="AC285" s="1062"/>
      <c r="AD285" s="1062"/>
      <c r="AE285" s="1062"/>
      <c r="AF285" s="1062"/>
      <c r="AG285" s="1062"/>
      <c r="AH285" s="1062"/>
      <c r="AI285" s="1062"/>
      <c r="AJ285" s="1062"/>
      <c r="AK285" s="1062"/>
      <c r="AL285" s="1062"/>
      <c r="AM285" s="1062"/>
      <c r="AN285" s="1062"/>
      <c r="AO285" s="1062"/>
      <c r="AP285" s="1062"/>
      <c r="AQ285" s="1062"/>
      <c r="AR285" s="1062"/>
      <c r="AS285" s="1062"/>
      <c r="AT285" s="1062"/>
      <c r="AU285" s="1062"/>
      <c r="AV285" s="1062"/>
      <c r="AW285" s="1062"/>
    </row>
    <row r="286" spans="2:49" x14ac:dyDescent="0.2">
      <c r="B286" s="1078"/>
      <c r="C286" s="1079"/>
      <c r="D286" s="1078"/>
      <c r="E286" s="1087"/>
      <c r="F286" s="1087"/>
      <c r="G286" s="1066"/>
      <c r="H286" s="1069"/>
      <c r="I286" s="1069"/>
      <c r="J286" s="1128" t="str">
        <f t="shared" si="21"/>
        <v/>
      </c>
      <c r="K286" s="1069"/>
      <c r="L286" s="1069"/>
      <c r="M286" s="1129" t="str">
        <f t="shared" si="22"/>
        <v/>
      </c>
      <c r="N286" s="1069"/>
      <c r="O286" s="1069"/>
      <c r="P286" s="1129" t="str">
        <f t="shared" si="23"/>
        <v/>
      </c>
      <c r="Q286" s="1069"/>
      <c r="R286" s="1069"/>
      <c r="S286" s="1129" t="str">
        <f t="shared" si="24"/>
        <v/>
      </c>
      <c r="T286" s="1068"/>
      <c r="U286" s="1069"/>
      <c r="V286" s="1267" t="str">
        <f t="shared" si="25"/>
        <v/>
      </c>
      <c r="W286" s="1062"/>
      <c r="X286" s="1062"/>
      <c r="Y286" s="1062"/>
      <c r="Z286" s="1062"/>
      <c r="AA286" s="1062"/>
      <c r="AB286" s="1062"/>
      <c r="AC286" s="1062"/>
      <c r="AD286" s="1062"/>
      <c r="AE286" s="1062"/>
      <c r="AF286" s="1062"/>
      <c r="AG286" s="1062"/>
      <c r="AH286" s="1062"/>
      <c r="AI286" s="1062"/>
      <c r="AJ286" s="1062"/>
      <c r="AK286" s="1062"/>
      <c r="AL286" s="1062"/>
      <c r="AM286" s="1062"/>
      <c r="AN286" s="1062"/>
      <c r="AO286" s="1062"/>
      <c r="AP286" s="1062"/>
      <c r="AQ286" s="1062"/>
      <c r="AR286" s="1062"/>
      <c r="AS286" s="1062"/>
      <c r="AT286" s="1062"/>
      <c r="AU286" s="1062"/>
      <c r="AV286" s="1062"/>
      <c r="AW286" s="1062"/>
    </row>
    <row r="287" spans="2:49" x14ac:dyDescent="0.2">
      <c r="B287" s="1078"/>
      <c r="C287" s="1079"/>
      <c r="D287" s="1078"/>
      <c r="E287" s="1088"/>
      <c r="F287" s="1088"/>
      <c r="G287" s="1066"/>
      <c r="H287" s="1069"/>
      <c r="I287" s="1069"/>
      <c r="J287" s="1128" t="str">
        <f t="shared" si="21"/>
        <v/>
      </c>
      <c r="K287" s="1069"/>
      <c r="L287" s="1069"/>
      <c r="M287" s="1129" t="str">
        <f t="shared" si="22"/>
        <v/>
      </c>
      <c r="N287" s="1069"/>
      <c r="O287" s="1069"/>
      <c r="P287" s="1129" t="str">
        <f t="shared" si="23"/>
        <v/>
      </c>
      <c r="Q287" s="1069"/>
      <c r="R287" s="1069"/>
      <c r="S287" s="1129" t="str">
        <f t="shared" si="24"/>
        <v/>
      </c>
      <c r="T287" s="1068"/>
      <c r="U287" s="1069"/>
      <c r="V287" s="1267" t="str">
        <f t="shared" si="25"/>
        <v/>
      </c>
      <c r="W287" s="1062"/>
      <c r="X287" s="1062"/>
      <c r="Y287" s="1062"/>
      <c r="Z287" s="1062"/>
      <c r="AA287" s="1062"/>
      <c r="AB287" s="1062"/>
      <c r="AC287" s="1062"/>
      <c r="AD287" s="1062"/>
      <c r="AE287" s="1062"/>
      <c r="AF287" s="1062"/>
      <c r="AG287" s="1062"/>
      <c r="AH287" s="1062"/>
      <c r="AI287" s="1062"/>
      <c r="AJ287" s="1062"/>
      <c r="AK287" s="1062"/>
      <c r="AL287" s="1062"/>
      <c r="AM287" s="1062"/>
      <c r="AN287" s="1062"/>
      <c r="AO287" s="1062"/>
      <c r="AP287" s="1062"/>
      <c r="AQ287" s="1062"/>
      <c r="AR287" s="1062"/>
      <c r="AS287" s="1062"/>
      <c r="AT287" s="1062"/>
      <c r="AU287" s="1062"/>
      <c r="AV287" s="1062"/>
      <c r="AW287" s="1062"/>
    </row>
    <row r="288" spans="2:49" x14ac:dyDescent="0.2">
      <c r="B288" s="1078"/>
      <c r="C288" s="1079"/>
      <c r="D288" s="1078"/>
      <c r="E288" s="1087"/>
      <c r="F288" s="1087"/>
      <c r="G288" s="1066"/>
      <c r="H288" s="1069"/>
      <c r="I288" s="1069"/>
      <c r="J288" s="1128" t="str">
        <f t="shared" si="21"/>
        <v/>
      </c>
      <c r="K288" s="1069"/>
      <c r="L288" s="1069"/>
      <c r="M288" s="1129" t="str">
        <f t="shared" si="22"/>
        <v/>
      </c>
      <c r="N288" s="1069"/>
      <c r="O288" s="1069"/>
      <c r="P288" s="1129" t="str">
        <f t="shared" si="23"/>
        <v/>
      </c>
      <c r="Q288" s="1069"/>
      <c r="R288" s="1069"/>
      <c r="S288" s="1129" t="str">
        <f t="shared" si="24"/>
        <v/>
      </c>
      <c r="T288" s="1068"/>
      <c r="U288" s="1069"/>
      <c r="V288" s="1267" t="str">
        <f t="shared" si="25"/>
        <v/>
      </c>
      <c r="W288" s="1056"/>
    </row>
    <row r="289" spans="1:49" x14ac:dyDescent="0.2">
      <c r="B289" s="1078"/>
      <c r="C289" s="1079"/>
      <c r="D289" s="1078"/>
      <c r="E289" s="1087"/>
      <c r="F289" s="1087"/>
      <c r="G289" s="1066"/>
      <c r="H289" s="1069"/>
      <c r="I289" s="1069"/>
      <c r="J289" s="1128" t="str">
        <f t="shared" si="21"/>
        <v/>
      </c>
      <c r="K289" s="1069"/>
      <c r="L289" s="1069"/>
      <c r="M289" s="1129" t="str">
        <f t="shared" si="22"/>
        <v/>
      </c>
      <c r="N289" s="1069"/>
      <c r="O289" s="1069"/>
      <c r="P289" s="1129" t="str">
        <f t="shared" si="23"/>
        <v/>
      </c>
      <c r="Q289" s="1069"/>
      <c r="R289" s="1069"/>
      <c r="S289" s="1129" t="str">
        <f t="shared" si="24"/>
        <v/>
      </c>
      <c r="T289" s="1068"/>
      <c r="U289" s="1069"/>
      <c r="V289" s="1267" t="str">
        <f t="shared" si="25"/>
        <v/>
      </c>
      <c r="W289" s="1056"/>
    </row>
    <row r="290" spans="1:49" x14ac:dyDescent="0.2">
      <c r="B290" s="1078"/>
      <c r="C290" s="1079"/>
      <c r="D290" s="1078"/>
      <c r="E290" s="1087"/>
      <c r="F290" s="1087"/>
      <c r="G290" s="1066"/>
      <c r="H290" s="1069"/>
      <c r="I290" s="1069"/>
      <c r="J290" s="1128" t="str">
        <f t="shared" si="21"/>
        <v/>
      </c>
      <c r="K290" s="1069"/>
      <c r="L290" s="1069"/>
      <c r="M290" s="1129" t="str">
        <f t="shared" si="22"/>
        <v/>
      </c>
      <c r="N290" s="1069"/>
      <c r="O290" s="1069"/>
      <c r="P290" s="1129" t="str">
        <f t="shared" si="23"/>
        <v/>
      </c>
      <c r="Q290" s="1069"/>
      <c r="R290" s="1069"/>
      <c r="S290" s="1129" t="str">
        <f t="shared" si="24"/>
        <v/>
      </c>
      <c r="T290" s="1068"/>
      <c r="U290" s="1069"/>
      <c r="V290" s="1267" t="str">
        <f t="shared" si="25"/>
        <v/>
      </c>
      <c r="W290" s="1056"/>
    </row>
    <row r="291" spans="1:49" x14ac:dyDescent="0.2">
      <c r="B291" s="1078"/>
      <c r="C291" s="1079"/>
      <c r="D291" s="1078"/>
      <c r="E291" s="1087"/>
      <c r="F291" s="1087"/>
      <c r="G291" s="1066"/>
      <c r="H291" s="1069"/>
      <c r="I291" s="1069"/>
      <c r="J291" s="1128" t="str">
        <f t="shared" si="21"/>
        <v/>
      </c>
      <c r="K291" s="1069"/>
      <c r="L291" s="1069"/>
      <c r="M291" s="1129" t="str">
        <f t="shared" si="22"/>
        <v/>
      </c>
      <c r="N291" s="1069"/>
      <c r="O291" s="1069"/>
      <c r="P291" s="1129" t="str">
        <f t="shared" si="23"/>
        <v/>
      </c>
      <c r="Q291" s="1069"/>
      <c r="R291" s="1069"/>
      <c r="S291" s="1129" t="str">
        <f t="shared" si="24"/>
        <v/>
      </c>
      <c r="T291" s="1068"/>
      <c r="U291" s="1069"/>
      <c r="V291" s="1267" t="str">
        <f t="shared" si="25"/>
        <v/>
      </c>
      <c r="W291" s="1056"/>
    </row>
    <row r="292" spans="1:49" x14ac:dyDescent="0.2">
      <c r="B292" s="1078"/>
      <c r="C292" s="1079"/>
      <c r="D292" s="1078"/>
      <c r="E292" s="1087"/>
      <c r="F292" s="1087"/>
      <c r="G292" s="1066"/>
      <c r="H292" s="1069"/>
      <c r="I292" s="1069"/>
      <c r="J292" s="1128" t="str">
        <f t="shared" si="21"/>
        <v/>
      </c>
      <c r="K292" s="1069"/>
      <c r="L292" s="1069"/>
      <c r="M292" s="1129" t="str">
        <f t="shared" si="22"/>
        <v/>
      </c>
      <c r="N292" s="1069"/>
      <c r="O292" s="1069"/>
      <c r="P292" s="1129" t="str">
        <f t="shared" si="23"/>
        <v/>
      </c>
      <c r="Q292" s="1069"/>
      <c r="R292" s="1069"/>
      <c r="S292" s="1129" t="str">
        <f t="shared" si="24"/>
        <v/>
      </c>
      <c r="T292" s="1068"/>
      <c r="U292" s="1069"/>
      <c r="V292" s="1267" t="str">
        <f t="shared" si="25"/>
        <v/>
      </c>
      <c r="W292" s="1056"/>
    </row>
    <row r="293" spans="1:49" x14ac:dyDescent="0.2">
      <c r="B293" s="1078"/>
      <c r="C293" s="1079"/>
      <c r="D293" s="1078"/>
      <c r="E293" s="1087"/>
      <c r="F293" s="1087"/>
      <c r="G293" s="1066"/>
      <c r="H293" s="1069"/>
      <c r="I293" s="1069"/>
      <c r="J293" s="1128" t="str">
        <f t="shared" si="21"/>
        <v/>
      </c>
      <c r="K293" s="1069"/>
      <c r="L293" s="1069"/>
      <c r="M293" s="1129" t="str">
        <f t="shared" si="22"/>
        <v/>
      </c>
      <c r="N293" s="1069"/>
      <c r="O293" s="1069"/>
      <c r="P293" s="1129" t="str">
        <f t="shared" si="23"/>
        <v/>
      </c>
      <c r="Q293" s="1069"/>
      <c r="R293" s="1069"/>
      <c r="S293" s="1129" t="str">
        <f t="shared" si="24"/>
        <v/>
      </c>
      <c r="T293" s="1068"/>
      <c r="U293" s="1069"/>
      <c r="V293" s="1267" t="str">
        <f t="shared" si="25"/>
        <v/>
      </c>
      <c r="W293" s="1056"/>
    </row>
    <row r="294" spans="1:49" x14ac:dyDescent="0.2">
      <c r="B294" s="1078"/>
      <c r="C294" s="1079"/>
      <c r="D294" s="1078"/>
      <c r="E294" s="1087"/>
      <c r="F294" s="1087"/>
      <c r="G294" s="1066"/>
      <c r="H294" s="1069"/>
      <c r="I294" s="1069"/>
      <c r="J294" s="1128" t="str">
        <f t="shared" si="21"/>
        <v/>
      </c>
      <c r="K294" s="1069"/>
      <c r="L294" s="1069"/>
      <c r="M294" s="1129" t="str">
        <f t="shared" si="22"/>
        <v/>
      </c>
      <c r="N294" s="1069"/>
      <c r="O294" s="1069"/>
      <c r="P294" s="1129" t="str">
        <f t="shared" si="23"/>
        <v/>
      </c>
      <c r="Q294" s="1069"/>
      <c r="R294" s="1069"/>
      <c r="S294" s="1129" t="str">
        <f t="shared" si="24"/>
        <v/>
      </c>
      <c r="T294" s="1068"/>
      <c r="U294" s="1069"/>
      <c r="V294" s="1267" t="str">
        <f t="shared" si="25"/>
        <v/>
      </c>
      <c r="W294" s="1056"/>
    </row>
    <row r="295" spans="1:49" x14ac:dyDescent="0.2">
      <c r="B295" s="1078"/>
      <c r="C295" s="1079"/>
      <c r="D295" s="1078"/>
      <c r="E295" s="1087"/>
      <c r="F295" s="1087"/>
      <c r="G295" s="1066"/>
      <c r="H295" s="1069"/>
      <c r="I295" s="1069"/>
      <c r="J295" s="1128" t="str">
        <f t="shared" si="21"/>
        <v/>
      </c>
      <c r="K295" s="1069"/>
      <c r="L295" s="1069"/>
      <c r="M295" s="1129" t="str">
        <f t="shared" si="22"/>
        <v/>
      </c>
      <c r="N295" s="1069"/>
      <c r="O295" s="1069"/>
      <c r="P295" s="1129" t="str">
        <f t="shared" si="23"/>
        <v/>
      </c>
      <c r="Q295" s="1069"/>
      <c r="R295" s="1069"/>
      <c r="S295" s="1129" t="str">
        <f t="shared" si="24"/>
        <v/>
      </c>
      <c r="T295" s="1068"/>
      <c r="U295" s="1069"/>
      <c r="V295" s="1267" t="str">
        <f t="shared" si="25"/>
        <v/>
      </c>
      <c r="W295" s="1056"/>
    </row>
    <row r="296" spans="1:49" x14ac:dyDescent="0.2">
      <c r="B296" s="1078"/>
      <c r="C296" s="1079"/>
      <c r="D296" s="1078"/>
      <c r="E296" s="1087"/>
      <c r="F296" s="1087"/>
      <c r="G296" s="1066"/>
      <c r="H296" s="1069"/>
      <c r="I296" s="1069"/>
      <c r="J296" s="1128" t="str">
        <f t="shared" si="21"/>
        <v/>
      </c>
      <c r="K296" s="1069"/>
      <c r="L296" s="1069"/>
      <c r="M296" s="1129" t="str">
        <f t="shared" si="22"/>
        <v/>
      </c>
      <c r="N296" s="1069"/>
      <c r="O296" s="1069"/>
      <c r="P296" s="1129" t="str">
        <f t="shared" si="23"/>
        <v/>
      </c>
      <c r="Q296" s="1069"/>
      <c r="R296" s="1069"/>
      <c r="S296" s="1129" t="str">
        <f t="shared" si="24"/>
        <v/>
      </c>
      <c r="T296" s="1068"/>
      <c r="U296" s="1069"/>
      <c r="V296" s="1267" t="str">
        <f t="shared" si="25"/>
        <v/>
      </c>
      <c r="W296" s="1056"/>
    </row>
    <row r="297" spans="1:49" x14ac:dyDescent="0.2">
      <c r="B297" s="1078"/>
      <c r="C297" s="1079"/>
      <c r="D297" s="1078"/>
      <c r="E297" s="1087"/>
      <c r="F297" s="1087"/>
      <c r="G297" s="1066"/>
      <c r="H297" s="1069"/>
      <c r="I297" s="1069"/>
      <c r="J297" s="1128" t="str">
        <f t="shared" si="21"/>
        <v/>
      </c>
      <c r="K297" s="1069"/>
      <c r="L297" s="1069"/>
      <c r="M297" s="1129" t="str">
        <f t="shared" si="22"/>
        <v/>
      </c>
      <c r="N297" s="1069"/>
      <c r="O297" s="1069"/>
      <c r="P297" s="1129" t="str">
        <f t="shared" si="23"/>
        <v/>
      </c>
      <c r="Q297" s="1069"/>
      <c r="R297" s="1069"/>
      <c r="S297" s="1129" t="str">
        <f t="shared" si="24"/>
        <v/>
      </c>
      <c r="T297" s="1068"/>
      <c r="U297" s="1069"/>
      <c r="V297" s="1267" t="str">
        <f t="shared" si="25"/>
        <v/>
      </c>
      <c r="W297" s="1056"/>
    </row>
    <row r="298" spans="1:49" x14ac:dyDescent="0.2">
      <c r="B298" s="1078"/>
      <c r="C298" s="1079"/>
      <c r="D298" s="1078"/>
      <c r="E298" s="1087"/>
      <c r="F298" s="1087"/>
      <c r="G298" s="1066"/>
      <c r="H298" s="1069"/>
      <c r="I298" s="1069"/>
      <c r="J298" s="1128" t="str">
        <f t="shared" si="21"/>
        <v/>
      </c>
      <c r="K298" s="1069"/>
      <c r="L298" s="1069"/>
      <c r="M298" s="1129" t="str">
        <f t="shared" si="22"/>
        <v/>
      </c>
      <c r="N298" s="1069"/>
      <c r="O298" s="1069"/>
      <c r="P298" s="1129" t="str">
        <f t="shared" si="23"/>
        <v/>
      </c>
      <c r="Q298" s="1069"/>
      <c r="R298" s="1069"/>
      <c r="S298" s="1129" t="str">
        <f t="shared" si="24"/>
        <v/>
      </c>
      <c r="T298" s="1068"/>
      <c r="U298" s="1069"/>
      <c r="V298" s="1267" t="str">
        <f t="shared" si="25"/>
        <v/>
      </c>
      <c r="W298" s="1056"/>
    </row>
    <row r="299" spans="1:49" x14ac:dyDescent="0.2">
      <c r="B299" s="1078"/>
      <c r="C299" s="1079"/>
      <c r="D299" s="1078"/>
      <c r="E299" s="1089"/>
      <c r="F299" s="1089"/>
      <c r="G299" s="1066"/>
      <c r="H299" s="1069"/>
      <c r="I299" s="1069"/>
      <c r="J299" s="1128" t="str">
        <f t="shared" si="21"/>
        <v/>
      </c>
      <c r="K299" s="1069"/>
      <c r="L299" s="1069"/>
      <c r="M299" s="1129" t="str">
        <f t="shared" si="22"/>
        <v/>
      </c>
      <c r="N299" s="1069"/>
      <c r="O299" s="1069"/>
      <c r="P299" s="1129" t="str">
        <f t="shared" si="23"/>
        <v/>
      </c>
      <c r="Q299" s="1069"/>
      <c r="R299" s="1069"/>
      <c r="S299" s="1129" t="str">
        <f t="shared" si="24"/>
        <v/>
      </c>
      <c r="T299" s="1068"/>
      <c r="U299" s="1069"/>
      <c r="V299" s="1267" t="str">
        <f t="shared" si="25"/>
        <v/>
      </c>
      <c r="W299" s="1056"/>
    </row>
    <row r="300" spans="1:49" x14ac:dyDescent="0.2">
      <c r="B300" s="1078"/>
      <c r="C300" s="1079"/>
      <c r="D300" s="1078"/>
      <c r="E300" s="1087"/>
      <c r="F300" s="1087"/>
      <c r="G300" s="1066"/>
      <c r="H300" s="1069"/>
      <c r="I300" s="1069"/>
      <c r="J300" s="1128" t="str">
        <f t="shared" si="21"/>
        <v/>
      </c>
      <c r="K300" s="1069"/>
      <c r="L300" s="1069"/>
      <c r="M300" s="1129" t="str">
        <f t="shared" si="22"/>
        <v/>
      </c>
      <c r="N300" s="1069"/>
      <c r="O300" s="1069"/>
      <c r="P300" s="1129" t="str">
        <f t="shared" si="23"/>
        <v/>
      </c>
      <c r="Q300" s="1069"/>
      <c r="R300" s="1069"/>
      <c r="S300" s="1129" t="str">
        <f t="shared" si="24"/>
        <v/>
      </c>
      <c r="T300" s="1068"/>
      <c r="U300" s="1069"/>
      <c r="V300" s="1267" t="str">
        <f t="shared" si="25"/>
        <v/>
      </c>
      <c r="W300" s="1056"/>
    </row>
    <row r="301" spans="1:49" x14ac:dyDescent="0.2">
      <c r="B301" s="1078"/>
      <c r="C301" s="1079"/>
      <c r="D301" s="1078"/>
      <c r="E301" s="1087"/>
      <c r="F301" s="1087"/>
      <c r="G301" s="1066"/>
      <c r="H301" s="1069"/>
      <c r="I301" s="1069"/>
      <c r="J301" s="1128" t="str">
        <f t="shared" si="21"/>
        <v/>
      </c>
      <c r="K301" s="1069"/>
      <c r="L301" s="1069"/>
      <c r="M301" s="1129" t="str">
        <f t="shared" si="22"/>
        <v/>
      </c>
      <c r="N301" s="1069"/>
      <c r="O301" s="1069"/>
      <c r="P301" s="1129" t="str">
        <f t="shared" si="23"/>
        <v/>
      </c>
      <c r="Q301" s="1069"/>
      <c r="R301" s="1069"/>
      <c r="S301" s="1129" t="str">
        <f t="shared" si="24"/>
        <v/>
      </c>
      <c r="T301" s="1068"/>
      <c r="U301" s="1069"/>
      <c r="V301" s="1267" t="str">
        <f t="shared" si="25"/>
        <v/>
      </c>
      <c r="W301" s="1056"/>
    </row>
    <row r="302" spans="1:49" s="33" customFormat="1" x14ac:dyDescent="0.2">
      <c r="A302" s="1056"/>
      <c r="B302" s="1078"/>
      <c r="C302" s="1079"/>
      <c r="D302" s="1078"/>
      <c r="E302" s="1087"/>
      <c r="F302" s="1087"/>
      <c r="G302" s="1066"/>
      <c r="H302" s="1069"/>
      <c r="I302" s="1069"/>
      <c r="J302" s="1128" t="str">
        <f t="shared" si="21"/>
        <v/>
      </c>
      <c r="K302" s="1069"/>
      <c r="L302" s="1069"/>
      <c r="M302" s="1129" t="str">
        <f t="shared" si="22"/>
        <v/>
      </c>
      <c r="N302" s="1069"/>
      <c r="O302" s="1069"/>
      <c r="P302" s="1129" t="str">
        <f t="shared" si="23"/>
        <v/>
      </c>
      <c r="Q302" s="1069"/>
      <c r="R302" s="1069"/>
      <c r="S302" s="1129" t="str">
        <f t="shared" si="24"/>
        <v/>
      </c>
      <c r="T302" s="1068"/>
      <c r="U302" s="1069"/>
      <c r="V302" s="1267" t="str">
        <f t="shared" si="25"/>
        <v/>
      </c>
      <c r="W302" s="1056"/>
      <c r="X302" s="1056"/>
      <c r="Y302" s="1056"/>
      <c r="Z302" s="1056"/>
      <c r="AA302" s="1056"/>
      <c r="AB302" s="1056"/>
      <c r="AC302" s="1056"/>
      <c r="AD302" s="1056"/>
      <c r="AE302" s="1056"/>
      <c r="AF302" s="1056"/>
      <c r="AG302" s="1056"/>
      <c r="AH302" s="1056"/>
      <c r="AI302" s="1056"/>
      <c r="AJ302" s="1056"/>
      <c r="AK302" s="1056"/>
      <c r="AL302" s="1056"/>
      <c r="AM302" s="1056"/>
      <c r="AN302" s="1056"/>
      <c r="AO302" s="1056"/>
      <c r="AP302" s="1056"/>
      <c r="AQ302" s="1056"/>
      <c r="AR302" s="1056"/>
      <c r="AS302" s="1056"/>
      <c r="AT302" s="1056"/>
      <c r="AU302" s="1056"/>
      <c r="AV302" s="1056"/>
      <c r="AW302" s="1056"/>
    </row>
    <row r="303" spans="1:49" s="33" customFormat="1" x14ac:dyDescent="0.2">
      <c r="A303" s="1056"/>
      <c r="B303" s="1078"/>
      <c r="C303" s="1079"/>
      <c r="D303" s="1078"/>
      <c r="E303" s="1087"/>
      <c r="F303" s="1087"/>
      <c r="G303" s="1066"/>
      <c r="H303" s="1069"/>
      <c r="I303" s="1069"/>
      <c r="J303" s="1128" t="str">
        <f t="shared" si="21"/>
        <v/>
      </c>
      <c r="K303" s="1069"/>
      <c r="L303" s="1069"/>
      <c r="M303" s="1129" t="str">
        <f t="shared" si="22"/>
        <v/>
      </c>
      <c r="N303" s="1069"/>
      <c r="O303" s="1069"/>
      <c r="P303" s="1129" t="str">
        <f t="shared" si="23"/>
        <v/>
      </c>
      <c r="Q303" s="1069"/>
      <c r="R303" s="1069"/>
      <c r="S303" s="1129" t="str">
        <f t="shared" si="24"/>
        <v/>
      </c>
      <c r="T303" s="1068"/>
      <c r="U303" s="1069"/>
      <c r="V303" s="1267" t="str">
        <f t="shared" si="25"/>
        <v/>
      </c>
      <c r="W303" s="1056"/>
      <c r="X303" s="1056"/>
      <c r="Y303" s="1056"/>
      <c r="Z303" s="1056"/>
      <c r="AA303" s="1056"/>
      <c r="AB303" s="1056"/>
      <c r="AC303" s="1056"/>
      <c r="AD303" s="1056"/>
      <c r="AE303" s="1056"/>
      <c r="AF303" s="1056"/>
      <c r="AG303" s="1056"/>
      <c r="AH303" s="1056"/>
      <c r="AI303" s="1056"/>
      <c r="AJ303" s="1056"/>
      <c r="AK303" s="1056"/>
      <c r="AL303" s="1056"/>
      <c r="AM303" s="1056"/>
      <c r="AN303" s="1056"/>
      <c r="AO303" s="1056"/>
      <c r="AP303" s="1056"/>
      <c r="AQ303" s="1056"/>
      <c r="AR303" s="1056"/>
      <c r="AS303" s="1056"/>
      <c r="AT303" s="1056"/>
      <c r="AU303" s="1056"/>
      <c r="AV303" s="1056"/>
      <c r="AW303" s="1056"/>
    </row>
    <row r="304" spans="1:49" s="33" customFormat="1" x14ac:dyDescent="0.2">
      <c r="A304" s="1056"/>
      <c r="B304" s="1078"/>
      <c r="C304" s="1079"/>
      <c r="D304" s="1078"/>
      <c r="E304" s="1087"/>
      <c r="F304" s="1087"/>
      <c r="G304" s="1066"/>
      <c r="H304" s="1069"/>
      <c r="I304" s="1069"/>
      <c r="J304" s="1128" t="str">
        <f t="shared" si="21"/>
        <v/>
      </c>
      <c r="K304" s="1069"/>
      <c r="L304" s="1069"/>
      <c r="M304" s="1129" t="str">
        <f t="shared" si="22"/>
        <v/>
      </c>
      <c r="N304" s="1069"/>
      <c r="O304" s="1069"/>
      <c r="P304" s="1129" t="str">
        <f t="shared" si="23"/>
        <v/>
      </c>
      <c r="Q304" s="1069"/>
      <c r="R304" s="1069"/>
      <c r="S304" s="1129" t="str">
        <f t="shared" si="24"/>
        <v/>
      </c>
      <c r="T304" s="1068"/>
      <c r="U304" s="1069"/>
      <c r="V304" s="1267" t="str">
        <f t="shared" si="25"/>
        <v/>
      </c>
      <c r="W304" s="1056"/>
      <c r="X304" s="1056"/>
      <c r="Y304" s="1056"/>
      <c r="Z304" s="1056"/>
      <c r="AA304" s="1056"/>
      <c r="AB304" s="1056"/>
      <c r="AC304" s="1056"/>
      <c r="AD304" s="1056"/>
      <c r="AE304" s="1056"/>
      <c r="AF304" s="1056"/>
      <c r="AG304" s="1056"/>
      <c r="AH304" s="1056"/>
      <c r="AI304" s="1056"/>
      <c r="AJ304" s="1056"/>
      <c r="AK304" s="1056"/>
      <c r="AL304" s="1056"/>
      <c r="AM304" s="1056"/>
      <c r="AN304" s="1056"/>
      <c r="AO304" s="1056"/>
      <c r="AP304" s="1056"/>
      <c r="AQ304" s="1056"/>
      <c r="AR304" s="1056"/>
      <c r="AS304" s="1056"/>
      <c r="AT304" s="1056"/>
      <c r="AU304" s="1056"/>
      <c r="AV304" s="1056"/>
      <c r="AW304" s="1056"/>
    </row>
    <row r="305" spans="1:49" s="33" customFormat="1" x14ac:dyDescent="0.2">
      <c r="A305" s="1056"/>
      <c r="B305" s="1078"/>
      <c r="C305" s="1079"/>
      <c r="D305" s="1078"/>
      <c r="E305" s="1087"/>
      <c r="F305" s="1087"/>
      <c r="G305" s="1066"/>
      <c r="H305" s="1069"/>
      <c r="I305" s="1069"/>
      <c r="J305" s="1128" t="str">
        <f t="shared" si="21"/>
        <v/>
      </c>
      <c r="K305" s="1069"/>
      <c r="L305" s="1069"/>
      <c r="M305" s="1129" t="str">
        <f t="shared" si="22"/>
        <v/>
      </c>
      <c r="N305" s="1069"/>
      <c r="O305" s="1069"/>
      <c r="P305" s="1129" t="str">
        <f t="shared" si="23"/>
        <v/>
      </c>
      <c r="Q305" s="1069"/>
      <c r="R305" s="1069"/>
      <c r="S305" s="1129" t="str">
        <f t="shared" si="24"/>
        <v/>
      </c>
      <c r="T305" s="1068"/>
      <c r="U305" s="1069"/>
      <c r="V305" s="1267" t="str">
        <f t="shared" si="25"/>
        <v/>
      </c>
      <c r="W305" s="1056"/>
      <c r="X305" s="1056"/>
      <c r="Y305" s="1056"/>
      <c r="Z305" s="1056"/>
      <c r="AA305" s="1056"/>
      <c r="AB305" s="1056"/>
      <c r="AC305" s="1056"/>
      <c r="AD305" s="1056"/>
      <c r="AE305" s="1056"/>
      <c r="AF305" s="1056"/>
      <c r="AG305" s="1056"/>
      <c r="AH305" s="1056"/>
      <c r="AI305" s="1056"/>
      <c r="AJ305" s="1056"/>
      <c r="AK305" s="1056"/>
      <c r="AL305" s="1056"/>
      <c r="AM305" s="1056"/>
      <c r="AN305" s="1056"/>
      <c r="AO305" s="1056"/>
      <c r="AP305" s="1056"/>
      <c r="AQ305" s="1056"/>
      <c r="AR305" s="1056"/>
      <c r="AS305" s="1056"/>
      <c r="AT305" s="1056"/>
      <c r="AU305" s="1056"/>
      <c r="AV305" s="1056"/>
      <c r="AW305" s="1056"/>
    </row>
    <row r="306" spans="1:49" s="33" customFormat="1" x14ac:dyDescent="0.2">
      <c r="A306" s="1056"/>
      <c r="B306" s="1078"/>
      <c r="C306" s="1079"/>
      <c r="D306" s="1078"/>
      <c r="E306" s="1087"/>
      <c r="F306" s="1087"/>
      <c r="G306" s="1066"/>
      <c r="H306" s="1069"/>
      <c r="I306" s="1069"/>
      <c r="J306" s="1128" t="str">
        <f t="shared" si="21"/>
        <v/>
      </c>
      <c r="K306" s="1069"/>
      <c r="L306" s="1069"/>
      <c r="M306" s="1129" t="str">
        <f t="shared" si="22"/>
        <v/>
      </c>
      <c r="N306" s="1069"/>
      <c r="O306" s="1069"/>
      <c r="P306" s="1129" t="str">
        <f t="shared" si="23"/>
        <v/>
      </c>
      <c r="Q306" s="1069"/>
      <c r="R306" s="1069"/>
      <c r="S306" s="1129" t="str">
        <f t="shared" si="24"/>
        <v/>
      </c>
      <c r="T306" s="1068"/>
      <c r="U306" s="1069"/>
      <c r="V306" s="1267" t="str">
        <f t="shared" si="25"/>
        <v/>
      </c>
      <c r="W306" s="1056"/>
      <c r="X306" s="1056"/>
      <c r="Y306" s="1056"/>
      <c r="Z306" s="1056"/>
      <c r="AA306" s="1056"/>
      <c r="AB306" s="1056"/>
      <c r="AC306" s="1056"/>
      <c r="AD306" s="1056"/>
      <c r="AE306" s="1056"/>
      <c r="AF306" s="1056"/>
      <c r="AG306" s="1056"/>
      <c r="AH306" s="1056"/>
      <c r="AI306" s="1056"/>
      <c r="AJ306" s="1056"/>
      <c r="AK306" s="1056"/>
      <c r="AL306" s="1056"/>
      <c r="AM306" s="1056"/>
      <c r="AN306" s="1056"/>
      <c r="AO306" s="1056"/>
      <c r="AP306" s="1056"/>
      <c r="AQ306" s="1056"/>
      <c r="AR306" s="1056"/>
      <c r="AS306" s="1056"/>
      <c r="AT306" s="1056"/>
      <c r="AU306" s="1056"/>
      <c r="AV306" s="1056"/>
      <c r="AW306" s="1056"/>
    </row>
    <row r="307" spans="1:49" s="33" customFormat="1" x14ac:dyDescent="0.2">
      <c r="A307" s="1056"/>
      <c r="B307" s="1078"/>
      <c r="C307" s="1079"/>
      <c r="D307" s="1078"/>
      <c r="E307" s="1087"/>
      <c r="F307" s="1087"/>
      <c r="G307" s="1066"/>
      <c r="H307" s="1069"/>
      <c r="I307" s="1069"/>
      <c r="J307" s="1128" t="str">
        <f t="shared" si="21"/>
        <v/>
      </c>
      <c r="K307" s="1069"/>
      <c r="L307" s="1069"/>
      <c r="M307" s="1129" t="str">
        <f t="shared" si="22"/>
        <v/>
      </c>
      <c r="N307" s="1069"/>
      <c r="O307" s="1069"/>
      <c r="P307" s="1129" t="str">
        <f t="shared" si="23"/>
        <v/>
      </c>
      <c r="Q307" s="1069"/>
      <c r="R307" s="1069"/>
      <c r="S307" s="1129" t="str">
        <f t="shared" si="24"/>
        <v/>
      </c>
      <c r="T307" s="1068"/>
      <c r="U307" s="1069"/>
      <c r="V307" s="1267" t="str">
        <f t="shared" si="25"/>
        <v/>
      </c>
      <c r="W307" s="1056"/>
      <c r="X307" s="1056"/>
      <c r="Y307" s="1056"/>
      <c r="Z307" s="1056"/>
      <c r="AA307" s="1056"/>
      <c r="AB307" s="1056"/>
      <c r="AC307" s="1056"/>
      <c r="AD307" s="1056"/>
      <c r="AE307" s="1056"/>
      <c r="AF307" s="1056"/>
      <c r="AG307" s="1056"/>
      <c r="AH307" s="1056"/>
      <c r="AI307" s="1056"/>
      <c r="AJ307" s="1056"/>
      <c r="AK307" s="1056"/>
      <c r="AL307" s="1056"/>
      <c r="AM307" s="1056"/>
      <c r="AN307" s="1056"/>
      <c r="AO307" s="1056"/>
      <c r="AP307" s="1056"/>
      <c r="AQ307" s="1056"/>
      <c r="AR307" s="1056"/>
      <c r="AS307" s="1056"/>
      <c r="AT307" s="1056"/>
      <c r="AU307" s="1056"/>
      <c r="AV307" s="1056"/>
      <c r="AW307" s="1056"/>
    </row>
    <row r="308" spans="1:49" s="33" customFormat="1" x14ac:dyDescent="0.2">
      <c r="A308" s="1056"/>
      <c r="B308" s="1078"/>
      <c r="C308" s="1079"/>
      <c r="D308" s="1078"/>
      <c r="E308" s="1087"/>
      <c r="F308" s="1087"/>
      <c r="G308" s="1066"/>
      <c r="H308" s="1069"/>
      <c r="I308" s="1069"/>
      <c r="J308" s="1128" t="str">
        <f t="shared" si="21"/>
        <v/>
      </c>
      <c r="K308" s="1069"/>
      <c r="L308" s="1069"/>
      <c r="M308" s="1129" t="str">
        <f t="shared" si="22"/>
        <v/>
      </c>
      <c r="N308" s="1069"/>
      <c r="O308" s="1069"/>
      <c r="P308" s="1129" t="str">
        <f t="shared" si="23"/>
        <v/>
      </c>
      <c r="Q308" s="1069"/>
      <c r="R308" s="1069"/>
      <c r="S308" s="1129" t="str">
        <f t="shared" si="24"/>
        <v/>
      </c>
      <c r="T308" s="1068"/>
      <c r="U308" s="1069"/>
      <c r="V308" s="1267" t="str">
        <f t="shared" si="25"/>
        <v/>
      </c>
      <c r="W308" s="1056"/>
      <c r="X308" s="1056"/>
      <c r="Y308" s="1056"/>
      <c r="Z308" s="1056"/>
      <c r="AA308" s="1056"/>
      <c r="AB308" s="1056"/>
      <c r="AC308" s="1056"/>
      <c r="AD308" s="1056"/>
      <c r="AE308" s="1056"/>
      <c r="AF308" s="1056"/>
      <c r="AG308" s="1056"/>
      <c r="AH308" s="1056"/>
      <c r="AI308" s="1056"/>
      <c r="AJ308" s="1056"/>
      <c r="AK308" s="1056"/>
      <c r="AL308" s="1056"/>
      <c r="AM308" s="1056"/>
      <c r="AN308" s="1056"/>
      <c r="AO308" s="1056"/>
      <c r="AP308" s="1056"/>
      <c r="AQ308" s="1056"/>
      <c r="AR308" s="1056"/>
      <c r="AS308" s="1056"/>
      <c r="AT308" s="1056"/>
      <c r="AU308" s="1056"/>
      <c r="AV308" s="1056"/>
      <c r="AW308" s="1056"/>
    </row>
    <row r="309" spans="1:49" s="33" customFormat="1" x14ac:dyDescent="0.2">
      <c r="A309" s="1056"/>
      <c r="B309" s="1078"/>
      <c r="C309" s="1079"/>
      <c r="D309" s="1078"/>
      <c r="E309" s="1087"/>
      <c r="F309" s="1087"/>
      <c r="G309" s="1066"/>
      <c r="H309" s="1069"/>
      <c r="I309" s="1069"/>
      <c r="J309" s="1128" t="str">
        <f t="shared" si="21"/>
        <v/>
      </c>
      <c r="K309" s="1069"/>
      <c r="L309" s="1069"/>
      <c r="M309" s="1129" t="str">
        <f t="shared" si="22"/>
        <v/>
      </c>
      <c r="N309" s="1069"/>
      <c r="O309" s="1069"/>
      <c r="P309" s="1129" t="str">
        <f t="shared" si="23"/>
        <v/>
      </c>
      <c r="Q309" s="1069"/>
      <c r="R309" s="1069"/>
      <c r="S309" s="1129" t="str">
        <f t="shared" si="24"/>
        <v/>
      </c>
      <c r="T309" s="1068"/>
      <c r="U309" s="1069"/>
      <c r="V309" s="1267" t="str">
        <f t="shared" si="25"/>
        <v/>
      </c>
      <c r="W309" s="1056"/>
      <c r="X309" s="1056"/>
      <c r="Y309" s="1056"/>
      <c r="Z309" s="1056"/>
      <c r="AA309" s="1056"/>
      <c r="AB309" s="1056"/>
      <c r="AC309" s="1056"/>
      <c r="AD309" s="1056"/>
      <c r="AE309" s="1056"/>
      <c r="AF309" s="1056"/>
      <c r="AG309" s="1056"/>
      <c r="AH309" s="1056"/>
      <c r="AI309" s="1056"/>
      <c r="AJ309" s="1056"/>
      <c r="AK309" s="1056"/>
      <c r="AL309" s="1056"/>
      <c r="AM309" s="1056"/>
      <c r="AN309" s="1056"/>
      <c r="AO309" s="1056"/>
      <c r="AP309" s="1056"/>
      <c r="AQ309" s="1056"/>
      <c r="AR309" s="1056"/>
      <c r="AS309" s="1056"/>
      <c r="AT309" s="1056"/>
      <c r="AU309" s="1056"/>
      <c r="AV309" s="1056"/>
      <c r="AW309" s="1056"/>
    </row>
    <row r="310" spans="1:49" s="33" customFormat="1" x14ac:dyDescent="0.2">
      <c r="A310" s="1056"/>
      <c r="B310" s="1078"/>
      <c r="C310" s="1079"/>
      <c r="D310" s="1078"/>
      <c r="E310" s="1087"/>
      <c r="F310" s="1087"/>
      <c r="G310" s="1066"/>
      <c r="H310" s="1069"/>
      <c r="I310" s="1069"/>
      <c r="J310" s="1128" t="str">
        <f t="shared" si="21"/>
        <v/>
      </c>
      <c r="K310" s="1069"/>
      <c r="L310" s="1069"/>
      <c r="M310" s="1129" t="str">
        <f t="shared" si="22"/>
        <v/>
      </c>
      <c r="N310" s="1069"/>
      <c r="O310" s="1069"/>
      <c r="P310" s="1129" t="str">
        <f t="shared" si="23"/>
        <v/>
      </c>
      <c r="Q310" s="1069"/>
      <c r="R310" s="1069"/>
      <c r="S310" s="1129" t="str">
        <f t="shared" si="24"/>
        <v/>
      </c>
      <c r="T310" s="1068"/>
      <c r="U310" s="1069"/>
      <c r="V310" s="1267" t="str">
        <f t="shared" si="25"/>
        <v/>
      </c>
      <c r="W310" s="1056"/>
      <c r="X310" s="1056"/>
      <c r="Y310" s="1056"/>
      <c r="Z310" s="1056"/>
      <c r="AA310" s="1056"/>
      <c r="AB310" s="1056"/>
      <c r="AC310" s="1056"/>
      <c r="AD310" s="1056"/>
      <c r="AE310" s="1056"/>
      <c r="AF310" s="1056"/>
      <c r="AG310" s="1056"/>
      <c r="AH310" s="1056"/>
      <c r="AI310" s="1056"/>
      <c r="AJ310" s="1056"/>
      <c r="AK310" s="1056"/>
      <c r="AL310" s="1056"/>
      <c r="AM310" s="1056"/>
      <c r="AN310" s="1056"/>
      <c r="AO310" s="1056"/>
      <c r="AP310" s="1056"/>
      <c r="AQ310" s="1056"/>
      <c r="AR310" s="1056"/>
      <c r="AS310" s="1056"/>
      <c r="AT310" s="1056"/>
      <c r="AU310" s="1056"/>
      <c r="AV310" s="1056"/>
      <c r="AW310" s="1056"/>
    </row>
    <row r="311" spans="1:49" s="33" customFormat="1" x14ac:dyDescent="0.2">
      <c r="A311" s="1056"/>
      <c r="B311" s="1078"/>
      <c r="C311" s="1079"/>
      <c r="D311" s="1078"/>
      <c r="E311" s="1087"/>
      <c r="F311" s="1087"/>
      <c r="G311" s="1066"/>
      <c r="H311" s="1069"/>
      <c r="I311" s="1069"/>
      <c r="J311" s="1128" t="str">
        <f t="shared" si="21"/>
        <v/>
      </c>
      <c r="K311" s="1069"/>
      <c r="L311" s="1069"/>
      <c r="M311" s="1129" t="str">
        <f t="shared" si="22"/>
        <v/>
      </c>
      <c r="N311" s="1069"/>
      <c r="O311" s="1069"/>
      <c r="P311" s="1129" t="str">
        <f t="shared" si="23"/>
        <v/>
      </c>
      <c r="Q311" s="1069"/>
      <c r="R311" s="1069"/>
      <c r="S311" s="1129" t="str">
        <f t="shared" si="24"/>
        <v/>
      </c>
      <c r="T311" s="1068"/>
      <c r="U311" s="1069"/>
      <c r="V311" s="1267" t="str">
        <f t="shared" si="25"/>
        <v/>
      </c>
      <c r="W311" s="1056"/>
      <c r="X311" s="1056"/>
      <c r="Y311" s="1056"/>
      <c r="Z311" s="1056"/>
      <c r="AA311" s="1056"/>
      <c r="AB311" s="1056"/>
      <c r="AC311" s="1056"/>
      <c r="AD311" s="1056"/>
      <c r="AE311" s="1056"/>
      <c r="AF311" s="1056"/>
      <c r="AG311" s="1056"/>
      <c r="AH311" s="1056"/>
      <c r="AI311" s="1056"/>
      <c r="AJ311" s="1056"/>
      <c r="AK311" s="1056"/>
      <c r="AL311" s="1056"/>
      <c r="AM311" s="1056"/>
      <c r="AN311" s="1056"/>
      <c r="AO311" s="1056"/>
      <c r="AP311" s="1056"/>
      <c r="AQ311" s="1056"/>
      <c r="AR311" s="1056"/>
      <c r="AS311" s="1056"/>
      <c r="AT311" s="1056"/>
      <c r="AU311" s="1056"/>
      <c r="AV311" s="1056"/>
      <c r="AW311" s="1056"/>
    </row>
    <row r="312" spans="1:49" s="33" customFormat="1" x14ac:dyDescent="0.2">
      <c r="A312" s="1056"/>
      <c r="B312" s="1078"/>
      <c r="C312" s="1079"/>
      <c r="D312" s="1078"/>
      <c r="E312" s="1087"/>
      <c r="F312" s="1087"/>
      <c r="G312" s="1066"/>
      <c r="H312" s="1069"/>
      <c r="I312" s="1069"/>
      <c r="J312" s="1128" t="str">
        <f t="shared" si="21"/>
        <v/>
      </c>
      <c r="K312" s="1069"/>
      <c r="L312" s="1069"/>
      <c r="M312" s="1129" t="str">
        <f t="shared" si="22"/>
        <v/>
      </c>
      <c r="N312" s="1069"/>
      <c r="O312" s="1069"/>
      <c r="P312" s="1129" t="str">
        <f t="shared" si="23"/>
        <v/>
      </c>
      <c r="Q312" s="1069"/>
      <c r="R312" s="1069"/>
      <c r="S312" s="1129" t="str">
        <f t="shared" si="24"/>
        <v/>
      </c>
      <c r="T312" s="1068"/>
      <c r="U312" s="1069"/>
      <c r="V312" s="1267" t="str">
        <f t="shared" si="25"/>
        <v/>
      </c>
      <c r="W312" s="1056"/>
      <c r="X312" s="1056"/>
      <c r="Y312" s="1056"/>
      <c r="Z312" s="1056"/>
      <c r="AA312" s="1056"/>
      <c r="AB312" s="1056"/>
      <c r="AC312" s="1056"/>
      <c r="AD312" s="1056"/>
      <c r="AE312" s="1056"/>
      <c r="AF312" s="1056"/>
      <c r="AG312" s="1056"/>
      <c r="AH312" s="1056"/>
      <c r="AI312" s="1056"/>
      <c r="AJ312" s="1056"/>
      <c r="AK312" s="1056"/>
      <c r="AL312" s="1056"/>
      <c r="AM312" s="1056"/>
      <c r="AN312" s="1056"/>
      <c r="AO312" s="1056"/>
      <c r="AP312" s="1056"/>
      <c r="AQ312" s="1056"/>
      <c r="AR312" s="1056"/>
      <c r="AS312" s="1056"/>
      <c r="AT312" s="1056"/>
      <c r="AU312" s="1056"/>
      <c r="AV312" s="1056"/>
      <c r="AW312" s="1056"/>
    </row>
    <row r="313" spans="1:49" s="33" customFormat="1" x14ac:dyDescent="0.2">
      <c r="A313" s="1056"/>
      <c r="B313" s="1078"/>
      <c r="C313" s="1079"/>
      <c r="D313" s="1078"/>
      <c r="E313" s="1087"/>
      <c r="F313" s="1087"/>
      <c r="G313" s="1066"/>
      <c r="H313" s="1069"/>
      <c r="I313" s="1069"/>
      <c r="J313" s="1128" t="str">
        <f t="shared" si="21"/>
        <v/>
      </c>
      <c r="K313" s="1069"/>
      <c r="L313" s="1069"/>
      <c r="M313" s="1129" t="str">
        <f t="shared" si="22"/>
        <v/>
      </c>
      <c r="N313" s="1069"/>
      <c r="O313" s="1069"/>
      <c r="P313" s="1129" t="str">
        <f t="shared" si="23"/>
        <v/>
      </c>
      <c r="Q313" s="1069"/>
      <c r="R313" s="1069"/>
      <c r="S313" s="1129" t="str">
        <f t="shared" si="24"/>
        <v/>
      </c>
      <c r="T313" s="1068"/>
      <c r="U313" s="1069"/>
      <c r="V313" s="1267" t="str">
        <f t="shared" si="25"/>
        <v/>
      </c>
      <c r="W313" s="1056"/>
      <c r="X313" s="1056"/>
      <c r="Y313" s="1056"/>
      <c r="Z313" s="1056"/>
      <c r="AA313" s="1056"/>
      <c r="AB313" s="1056"/>
      <c r="AC313" s="1056"/>
      <c r="AD313" s="1056"/>
      <c r="AE313" s="1056"/>
      <c r="AF313" s="1056"/>
      <c r="AG313" s="1056"/>
      <c r="AH313" s="1056"/>
      <c r="AI313" s="1056"/>
      <c r="AJ313" s="1056"/>
      <c r="AK313" s="1056"/>
      <c r="AL313" s="1056"/>
      <c r="AM313" s="1056"/>
      <c r="AN313" s="1056"/>
      <c r="AO313" s="1056"/>
      <c r="AP313" s="1056"/>
      <c r="AQ313" s="1056"/>
      <c r="AR313" s="1056"/>
      <c r="AS313" s="1056"/>
      <c r="AT313" s="1056"/>
      <c r="AU313" s="1056"/>
      <c r="AV313" s="1056"/>
      <c r="AW313" s="1056"/>
    </row>
    <row r="314" spans="1:49" s="33" customFormat="1" x14ac:dyDescent="0.2">
      <c r="A314" s="1056"/>
      <c r="B314" s="1078"/>
      <c r="C314" s="1079"/>
      <c r="D314" s="1078"/>
      <c r="E314" s="1087"/>
      <c r="F314" s="1087"/>
      <c r="G314" s="1066"/>
      <c r="H314" s="1069"/>
      <c r="I314" s="1069"/>
      <c r="J314" s="1128" t="str">
        <f t="shared" si="21"/>
        <v/>
      </c>
      <c r="K314" s="1069"/>
      <c r="L314" s="1069"/>
      <c r="M314" s="1129" t="str">
        <f t="shared" si="22"/>
        <v/>
      </c>
      <c r="N314" s="1069"/>
      <c r="O314" s="1069"/>
      <c r="P314" s="1129" t="str">
        <f t="shared" si="23"/>
        <v/>
      </c>
      <c r="Q314" s="1069"/>
      <c r="R314" s="1069"/>
      <c r="S314" s="1129" t="str">
        <f t="shared" si="24"/>
        <v/>
      </c>
      <c r="T314" s="1068"/>
      <c r="U314" s="1069"/>
      <c r="V314" s="1267" t="str">
        <f t="shared" si="25"/>
        <v/>
      </c>
      <c r="W314" s="1056"/>
      <c r="X314" s="1056"/>
      <c r="Y314" s="1056"/>
      <c r="Z314" s="1056"/>
      <c r="AA314" s="1056"/>
      <c r="AB314" s="1056"/>
      <c r="AC314" s="1056"/>
      <c r="AD314" s="1056"/>
      <c r="AE314" s="1056"/>
      <c r="AF314" s="1056"/>
      <c r="AG314" s="1056"/>
      <c r="AH314" s="1056"/>
      <c r="AI314" s="1056"/>
      <c r="AJ314" s="1056"/>
      <c r="AK314" s="1056"/>
      <c r="AL314" s="1056"/>
      <c r="AM314" s="1056"/>
      <c r="AN314" s="1056"/>
      <c r="AO314" s="1056"/>
      <c r="AP314" s="1056"/>
      <c r="AQ314" s="1056"/>
      <c r="AR314" s="1056"/>
      <c r="AS314" s="1056"/>
      <c r="AT314" s="1056"/>
      <c r="AU314" s="1056"/>
      <c r="AV314" s="1056"/>
      <c r="AW314" s="1056"/>
    </row>
    <row r="315" spans="1:49" s="33" customFormat="1" x14ac:dyDescent="0.2">
      <c r="A315" s="1056"/>
      <c r="B315" s="1078"/>
      <c r="C315" s="1079"/>
      <c r="D315" s="1078"/>
      <c r="E315" s="1087"/>
      <c r="F315" s="1087"/>
      <c r="G315" s="1066"/>
      <c r="H315" s="1069"/>
      <c r="I315" s="1069"/>
      <c r="J315" s="1128" t="str">
        <f t="shared" si="21"/>
        <v/>
      </c>
      <c r="K315" s="1069"/>
      <c r="L315" s="1069"/>
      <c r="M315" s="1129" t="str">
        <f t="shared" si="22"/>
        <v/>
      </c>
      <c r="N315" s="1069"/>
      <c r="O315" s="1069"/>
      <c r="P315" s="1129" t="str">
        <f t="shared" si="23"/>
        <v/>
      </c>
      <c r="Q315" s="1069"/>
      <c r="R315" s="1069"/>
      <c r="S315" s="1129" t="str">
        <f t="shared" si="24"/>
        <v/>
      </c>
      <c r="T315" s="1068"/>
      <c r="U315" s="1069"/>
      <c r="V315" s="1267" t="str">
        <f t="shared" si="25"/>
        <v/>
      </c>
      <c r="W315" s="1056"/>
      <c r="X315" s="1056"/>
      <c r="Y315" s="1056"/>
      <c r="Z315" s="1056"/>
      <c r="AA315" s="1056"/>
      <c r="AB315" s="1056"/>
      <c r="AC315" s="1056"/>
      <c r="AD315" s="1056"/>
      <c r="AE315" s="1056"/>
      <c r="AF315" s="1056"/>
      <c r="AG315" s="1056"/>
      <c r="AH315" s="1056"/>
      <c r="AI315" s="1056"/>
      <c r="AJ315" s="1056"/>
      <c r="AK315" s="1056"/>
      <c r="AL315" s="1056"/>
      <c r="AM315" s="1056"/>
      <c r="AN315" s="1056"/>
      <c r="AO315" s="1056"/>
      <c r="AP315" s="1056"/>
      <c r="AQ315" s="1056"/>
      <c r="AR315" s="1056"/>
      <c r="AS315" s="1056"/>
      <c r="AT315" s="1056"/>
      <c r="AU315" s="1056"/>
      <c r="AV315" s="1056"/>
      <c r="AW315" s="1056"/>
    </row>
    <row r="316" spans="1:49" s="33" customFormat="1" x14ac:dyDescent="0.2">
      <c r="A316" s="1056"/>
      <c r="B316" s="1078"/>
      <c r="C316" s="1079"/>
      <c r="D316" s="1078"/>
      <c r="E316" s="1087"/>
      <c r="F316" s="1087"/>
      <c r="G316" s="1066"/>
      <c r="H316" s="1069"/>
      <c r="I316" s="1069"/>
      <c r="J316" s="1128" t="str">
        <f t="shared" si="21"/>
        <v/>
      </c>
      <c r="K316" s="1069"/>
      <c r="L316" s="1069"/>
      <c r="M316" s="1129" t="str">
        <f t="shared" si="22"/>
        <v/>
      </c>
      <c r="N316" s="1069"/>
      <c r="O316" s="1069"/>
      <c r="P316" s="1129" t="str">
        <f t="shared" si="23"/>
        <v/>
      </c>
      <c r="Q316" s="1069"/>
      <c r="R316" s="1069"/>
      <c r="S316" s="1129" t="str">
        <f t="shared" si="24"/>
        <v/>
      </c>
      <c r="T316" s="1068"/>
      <c r="U316" s="1069"/>
      <c r="V316" s="1267" t="str">
        <f t="shared" si="25"/>
        <v/>
      </c>
      <c r="W316" s="1056"/>
      <c r="X316" s="1056"/>
      <c r="Y316" s="1056"/>
      <c r="Z316" s="1056"/>
      <c r="AA316" s="1056"/>
      <c r="AB316" s="1056"/>
      <c r="AC316" s="1056"/>
      <c r="AD316" s="1056"/>
      <c r="AE316" s="1056"/>
      <c r="AF316" s="1056"/>
      <c r="AG316" s="1056"/>
      <c r="AH316" s="1056"/>
      <c r="AI316" s="1056"/>
      <c r="AJ316" s="1056"/>
      <c r="AK316" s="1056"/>
      <c r="AL316" s="1056"/>
      <c r="AM316" s="1056"/>
      <c r="AN316" s="1056"/>
      <c r="AO316" s="1056"/>
      <c r="AP316" s="1056"/>
      <c r="AQ316" s="1056"/>
      <c r="AR316" s="1056"/>
      <c r="AS316" s="1056"/>
      <c r="AT316" s="1056"/>
      <c r="AU316" s="1056"/>
      <c r="AV316" s="1056"/>
      <c r="AW316" s="1056"/>
    </row>
    <row r="317" spans="1:49" s="33" customFormat="1" x14ac:dyDescent="0.2">
      <c r="A317" s="1056"/>
      <c r="B317" s="1078"/>
      <c r="C317" s="1079"/>
      <c r="D317" s="1078"/>
      <c r="E317" s="1087"/>
      <c r="F317" s="1087"/>
      <c r="G317" s="1066"/>
      <c r="H317" s="1069"/>
      <c r="I317" s="1069"/>
      <c r="J317" s="1128" t="str">
        <f t="shared" si="21"/>
        <v/>
      </c>
      <c r="K317" s="1069"/>
      <c r="L317" s="1069"/>
      <c r="M317" s="1129" t="str">
        <f t="shared" si="22"/>
        <v/>
      </c>
      <c r="N317" s="1069"/>
      <c r="O317" s="1069"/>
      <c r="P317" s="1129" t="str">
        <f t="shared" si="23"/>
        <v/>
      </c>
      <c r="Q317" s="1069"/>
      <c r="R317" s="1069"/>
      <c r="S317" s="1129" t="str">
        <f t="shared" si="24"/>
        <v/>
      </c>
      <c r="T317" s="1068"/>
      <c r="U317" s="1069"/>
      <c r="V317" s="1267" t="str">
        <f t="shared" si="25"/>
        <v/>
      </c>
      <c r="W317" s="1056"/>
      <c r="X317" s="1056"/>
      <c r="Y317" s="1056"/>
      <c r="Z317" s="1056"/>
      <c r="AA317" s="1056"/>
      <c r="AB317" s="1056"/>
      <c r="AC317" s="1056"/>
      <c r="AD317" s="1056"/>
      <c r="AE317" s="1056"/>
      <c r="AF317" s="1056"/>
      <c r="AG317" s="1056"/>
      <c r="AH317" s="1056"/>
      <c r="AI317" s="1056"/>
      <c r="AJ317" s="1056"/>
      <c r="AK317" s="1056"/>
      <c r="AL317" s="1056"/>
      <c r="AM317" s="1056"/>
      <c r="AN317" s="1056"/>
      <c r="AO317" s="1056"/>
      <c r="AP317" s="1056"/>
      <c r="AQ317" s="1056"/>
      <c r="AR317" s="1056"/>
      <c r="AS317" s="1056"/>
      <c r="AT317" s="1056"/>
      <c r="AU317" s="1056"/>
      <c r="AV317" s="1056"/>
      <c r="AW317" s="1056"/>
    </row>
    <row r="318" spans="1:49" s="33" customFormat="1" x14ac:dyDescent="0.2">
      <c r="A318" s="1056"/>
      <c r="B318" s="1078"/>
      <c r="C318" s="1079"/>
      <c r="D318" s="1078"/>
      <c r="E318" s="1087"/>
      <c r="F318" s="1087"/>
      <c r="G318" s="1066"/>
      <c r="H318" s="1069"/>
      <c r="I318" s="1069"/>
      <c r="J318" s="1128" t="str">
        <f t="shared" si="21"/>
        <v/>
      </c>
      <c r="K318" s="1069"/>
      <c r="L318" s="1069"/>
      <c r="M318" s="1129" t="str">
        <f t="shared" si="22"/>
        <v/>
      </c>
      <c r="N318" s="1069"/>
      <c r="O318" s="1069"/>
      <c r="P318" s="1129" t="str">
        <f t="shared" si="23"/>
        <v/>
      </c>
      <c r="Q318" s="1069"/>
      <c r="R318" s="1069"/>
      <c r="S318" s="1129" t="str">
        <f t="shared" si="24"/>
        <v/>
      </c>
      <c r="T318" s="1068"/>
      <c r="U318" s="1069"/>
      <c r="V318" s="1267" t="str">
        <f t="shared" si="25"/>
        <v/>
      </c>
      <c r="W318" s="1056"/>
      <c r="X318" s="1056"/>
      <c r="Y318" s="1056"/>
      <c r="Z318" s="1056"/>
      <c r="AA318" s="1056"/>
      <c r="AB318" s="1056"/>
      <c r="AC318" s="1056"/>
      <c r="AD318" s="1056"/>
      <c r="AE318" s="1056"/>
      <c r="AF318" s="1056"/>
      <c r="AG318" s="1056"/>
      <c r="AH318" s="1056"/>
      <c r="AI318" s="1056"/>
      <c r="AJ318" s="1056"/>
      <c r="AK318" s="1056"/>
      <c r="AL318" s="1056"/>
      <c r="AM318" s="1056"/>
      <c r="AN318" s="1056"/>
      <c r="AO318" s="1056"/>
      <c r="AP318" s="1056"/>
      <c r="AQ318" s="1056"/>
      <c r="AR318" s="1056"/>
      <c r="AS318" s="1056"/>
      <c r="AT318" s="1056"/>
      <c r="AU318" s="1056"/>
      <c r="AV318" s="1056"/>
      <c r="AW318" s="1056"/>
    </row>
    <row r="319" spans="1:49" s="33" customFormat="1" x14ac:dyDescent="0.2">
      <c r="A319" s="1056"/>
      <c r="B319" s="1078"/>
      <c r="C319" s="1079"/>
      <c r="D319" s="1078"/>
      <c r="E319" s="1087"/>
      <c r="F319" s="1087"/>
      <c r="G319" s="1066"/>
      <c r="H319" s="1069"/>
      <c r="I319" s="1069"/>
      <c r="J319" s="1128" t="str">
        <f t="shared" si="21"/>
        <v/>
      </c>
      <c r="K319" s="1069"/>
      <c r="L319" s="1069"/>
      <c r="M319" s="1129" t="str">
        <f t="shared" si="22"/>
        <v/>
      </c>
      <c r="N319" s="1069"/>
      <c r="O319" s="1069"/>
      <c r="P319" s="1129" t="str">
        <f t="shared" si="23"/>
        <v/>
      </c>
      <c r="Q319" s="1069"/>
      <c r="R319" s="1069"/>
      <c r="S319" s="1129" t="str">
        <f t="shared" si="24"/>
        <v/>
      </c>
      <c r="T319" s="1068"/>
      <c r="U319" s="1069"/>
      <c r="V319" s="1267" t="str">
        <f t="shared" si="25"/>
        <v/>
      </c>
      <c r="W319" s="1056"/>
      <c r="X319" s="1056"/>
      <c r="Y319" s="1056"/>
      <c r="Z319" s="1056"/>
      <c r="AA319" s="1056"/>
      <c r="AB319" s="1056"/>
      <c r="AC319" s="1056"/>
      <c r="AD319" s="1056"/>
      <c r="AE319" s="1056"/>
      <c r="AF319" s="1056"/>
      <c r="AG319" s="1056"/>
      <c r="AH319" s="1056"/>
      <c r="AI319" s="1056"/>
      <c r="AJ319" s="1056"/>
      <c r="AK319" s="1056"/>
      <c r="AL319" s="1056"/>
      <c r="AM319" s="1056"/>
      <c r="AN319" s="1056"/>
      <c r="AO319" s="1056"/>
      <c r="AP319" s="1056"/>
      <c r="AQ319" s="1056"/>
      <c r="AR319" s="1056"/>
      <c r="AS319" s="1056"/>
      <c r="AT319" s="1056"/>
      <c r="AU319" s="1056"/>
      <c r="AV319" s="1056"/>
      <c r="AW319" s="1056"/>
    </row>
    <row r="320" spans="1:49" s="33" customFormat="1" x14ac:dyDescent="0.2">
      <c r="A320" s="1056"/>
      <c r="B320" s="1078"/>
      <c r="C320" s="1079"/>
      <c r="D320" s="1078"/>
      <c r="E320" s="1087"/>
      <c r="F320" s="1087"/>
      <c r="G320" s="1066"/>
      <c r="H320" s="1069"/>
      <c r="I320" s="1069"/>
      <c r="J320" s="1128" t="str">
        <f t="shared" si="21"/>
        <v/>
      </c>
      <c r="K320" s="1069"/>
      <c r="L320" s="1069"/>
      <c r="M320" s="1129" t="str">
        <f t="shared" si="22"/>
        <v/>
      </c>
      <c r="N320" s="1069"/>
      <c r="O320" s="1069"/>
      <c r="P320" s="1129" t="str">
        <f t="shared" si="23"/>
        <v/>
      </c>
      <c r="Q320" s="1069"/>
      <c r="R320" s="1069"/>
      <c r="S320" s="1129" t="str">
        <f t="shared" si="24"/>
        <v/>
      </c>
      <c r="T320" s="1068"/>
      <c r="U320" s="1069"/>
      <c r="V320" s="1267" t="str">
        <f t="shared" si="25"/>
        <v/>
      </c>
      <c r="W320" s="1056"/>
      <c r="X320" s="1056"/>
      <c r="Y320" s="1056"/>
      <c r="Z320" s="1056"/>
      <c r="AA320" s="1056"/>
      <c r="AB320" s="1056"/>
      <c r="AC320" s="1056"/>
      <c r="AD320" s="1056"/>
      <c r="AE320" s="1056"/>
      <c r="AF320" s="1056"/>
      <c r="AG320" s="1056"/>
      <c r="AH320" s="1056"/>
      <c r="AI320" s="1056"/>
      <c r="AJ320" s="1056"/>
      <c r="AK320" s="1056"/>
      <c r="AL320" s="1056"/>
      <c r="AM320" s="1056"/>
      <c r="AN320" s="1056"/>
      <c r="AO320" s="1056"/>
      <c r="AP320" s="1056"/>
      <c r="AQ320" s="1056"/>
      <c r="AR320" s="1056"/>
      <c r="AS320" s="1056"/>
      <c r="AT320" s="1056"/>
      <c r="AU320" s="1056"/>
      <c r="AV320" s="1056"/>
      <c r="AW320" s="1056"/>
    </row>
    <row r="321" spans="1:49" s="33" customFormat="1" x14ac:dyDescent="0.2">
      <c r="A321" s="1056"/>
      <c r="B321" s="1078"/>
      <c r="C321" s="1079"/>
      <c r="D321" s="1078"/>
      <c r="E321" s="1087"/>
      <c r="F321" s="1087"/>
      <c r="G321" s="1066"/>
      <c r="H321" s="1069"/>
      <c r="I321" s="1069"/>
      <c r="J321" s="1128" t="str">
        <f t="shared" si="21"/>
        <v/>
      </c>
      <c r="K321" s="1069"/>
      <c r="L321" s="1069"/>
      <c r="M321" s="1129" t="str">
        <f t="shared" si="22"/>
        <v/>
      </c>
      <c r="N321" s="1069"/>
      <c r="O321" s="1069"/>
      <c r="P321" s="1129" t="str">
        <f t="shared" si="23"/>
        <v/>
      </c>
      <c r="Q321" s="1069"/>
      <c r="R321" s="1069"/>
      <c r="S321" s="1129" t="str">
        <f t="shared" si="24"/>
        <v/>
      </c>
      <c r="T321" s="1068"/>
      <c r="U321" s="1069"/>
      <c r="V321" s="1267" t="str">
        <f t="shared" si="25"/>
        <v/>
      </c>
      <c r="W321" s="1056"/>
      <c r="X321" s="1056"/>
      <c r="Y321" s="1056"/>
      <c r="Z321" s="1056"/>
      <c r="AA321" s="1056"/>
      <c r="AB321" s="1056"/>
      <c r="AC321" s="1056"/>
      <c r="AD321" s="1056"/>
      <c r="AE321" s="1056"/>
      <c r="AF321" s="1056"/>
      <c r="AG321" s="1056"/>
      <c r="AH321" s="1056"/>
      <c r="AI321" s="1056"/>
      <c r="AJ321" s="1056"/>
      <c r="AK321" s="1056"/>
      <c r="AL321" s="1056"/>
      <c r="AM321" s="1056"/>
      <c r="AN321" s="1056"/>
      <c r="AO321" s="1056"/>
      <c r="AP321" s="1056"/>
      <c r="AQ321" s="1056"/>
      <c r="AR321" s="1056"/>
      <c r="AS321" s="1056"/>
      <c r="AT321" s="1056"/>
      <c r="AU321" s="1056"/>
      <c r="AV321" s="1056"/>
      <c r="AW321" s="1056"/>
    </row>
    <row r="322" spans="1:49" s="33" customFormat="1" x14ac:dyDescent="0.2">
      <c r="A322" s="1056"/>
      <c r="B322" s="1078"/>
      <c r="C322" s="1079"/>
      <c r="D322" s="1078"/>
      <c r="E322" s="1087"/>
      <c r="F322" s="1087"/>
      <c r="G322" s="1066"/>
      <c r="H322" s="1069"/>
      <c r="I322" s="1069"/>
      <c r="J322" s="1128" t="str">
        <f t="shared" si="21"/>
        <v/>
      </c>
      <c r="K322" s="1069"/>
      <c r="L322" s="1069"/>
      <c r="M322" s="1129" t="str">
        <f t="shared" si="22"/>
        <v/>
      </c>
      <c r="N322" s="1069"/>
      <c r="O322" s="1069"/>
      <c r="P322" s="1129" t="str">
        <f t="shared" si="23"/>
        <v/>
      </c>
      <c r="Q322" s="1069"/>
      <c r="R322" s="1069"/>
      <c r="S322" s="1129" t="str">
        <f t="shared" si="24"/>
        <v/>
      </c>
      <c r="T322" s="1068"/>
      <c r="U322" s="1069"/>
      <c r="V322" s="1267" t="str">
        <f t="shared" si="25"/>
        <v/>
      </c>
      <c r="W322" s="1056"/>
      <c r="X322" s="1056"/>
      <c r="Y322" s="1056"/>
      <c r="Z322" s="1056"/>
      <c r="AA322" s="1056"/>
      <c r="AB322" s="1056"/>
      <c r="AC322" s="1056"/>
      <c r="AD322" s="1056"/>
      <c r="AE322" s="1056"/>
      <c r="AF322" s="1056"/>
      <c r="AG322" s="1056"/>
      <c r="AH322" s="1056"/>
      <c r="AI322" s="1056"/>
      <c r="AJ322" s="1056"/>
      <c r="AK322" s="1056"/>
      <c r="AL322" s="1056"/>
      <c r="AM322" s="1056"/>
      <c r="AN322" s="1056"/>
      <c r="AO322" s="1056"/>
      <c r="AP322" s="1056"/>
      <c r="AQ322" s="1056"/>
      <c r="AR322" s="1056"/>
      <c r="AS322" s="1056"/>
      <c r="AT322" s="1056"/>
      <c r="AU322" s="1056"/>
      <c r="AV322" s="1056"/>
      <c r="AW322" s="1056"/>
    </row>
    <row r="323" spans="1:49" s="33" customFormat="1" x14ac:dyDescent="0.2">
      <c r="A323" s="1056"/>
      <c r="B323" s="1078"/>
      <c r="C323" s="1079"/>
      <c r="D323" s="1078"/>
      <c r="E323" s="1087"/>
      <c r="F323" s="1087"/>
      <c r="G323" s="1066"/>
      <c r="H323" s="1069"/>
      <c r="I323" s="1069"/>
      <c r="J323" s="1128" t="str">
        <f t="shared" si="21"/>
        <v/>
      </c>
      <c r="K323" s="1069"/>
      <c r="L323" s="1069"/>
      <c r="M323" s="1129" t="str">
        <f t="shared" si="22"/>
        <v/>
      </c>
      <c r="N323" s="1069"/>
      <c r="O323" s="1069"/>
      <c r="P323" s="1129" t="str">
        <f t="shared" si="23"/>
        <v/>
      </c>
      <c r="Q323" s="1069"/>
      <c r="R323" s="1069"/>
      <c r="S323" s="1129" t="str">
        <f t="shared" si="24"/>
        <v/>
      </c>
      <c r="T323" s="1068"/>
      <c r="U323" s="1069"/>
      <c r="V323" s="1267" t="str">
        <f t="shared" si="25"/>
        <v/>
      </c>
      <c r="W323" s="1056"/>
      <c r="X323" s="1056"/>
      <c r="Y323" s="1056"/>
      <c r="Z323" s="1056"/>
      <c r="AA323" s="1056"/>
      <c r="AB323" s="1056"/>
      <c r="AC323" s="1056"/>
      <c r="AD323" s="1056"/>
      <c r="AE323" s="1056"/>
      <c r="AF323" s="1056"/>
      <c r="AG323" s="1056"/>
      <c r="AH323" s="1056"/>
      <c r="AI323" s="1056"/>
      <c r="AJ323" s="1056"/>
      <c r="AK323" s="1056"/>
      <c r="AL323" s="1056"/>
      <c r="AM323" s="1056"/>
      <c r="AN323" s="1056"/>
      <c r="AO323" s="1056"/>
      <c r="AP323" s="1056"/>
      <c r="AQ323" s="1056"/>
      <c r="AR323" s="1056"/>
      <c r="AS323" s="1056"/>
      <c r="AT323" s="1056"/>
      <c r="AU323" s="1056"/>
      <c r="AV323" s="1056"/>
      <c r="AW323" s="1056"/>
    </row>
    <row r="324" spans="1:49" s="33" customFormat="1" x14ac:dyDescent="0.2">
      <c r="A324" s="1056"/>
      <c r="B324" s="1078"/>
      <c r="C324" s="1079"/>
      <c r="D324" s="1078"/>
      <c r="E324" s="1087"/>
      <c r="F324" s="1087"/>
      <c r="G324" s="1066"/>
      <c r="H324" s="1069"/>
      <c r="I324" s="1069"/>
      <c r="J324" s="1128" t="str">
        <f t="shared" si="21"/>
        <v/>
      </c>
      <c r="K324" s="1069"/>
      <c r="L324" s="1069"/>
      <c r="M324" s="1129" t="str">
        <f t="shared" si="22"/>
        <v/>
      </c>
      <c r="N324" s="1069"/>
      <c r="O324" s="1069"/>
      <c r="P324" s="1129" t="str">
        <f t="shared" si="23"/>
        <v/>
      </c>
      <c r="Q324" s="1069"/>
      <c r="R324" s="1069"/>
      <c r="S324" s="1129" t="str">
        <f t="shared" si="24"/>
        <v/>
      </c>
      <c r="T324" s="1068"/>
      <c r="U324" s="1069"/>
      <c r="V324" s="1267" t="str">
        <f t="shared" si="25"/>
        <v/>
      </c>
      <c r="W324" s="1056"/>
      <c r="X324" s="1056"/>
      <c r="Y324" s="1056"/>
      <c r="Z324" s="1056"/>
      <c r="AA324" s="1056"/>
      <c r="AB324" s="1056"/>
      <c r="AC324" s="1056"/>
      <c r="AD324" s="1056"/>
      <c r="AE324" s="1056"/>
      <c r="AF324" s="1056"/>
      <c r="AG324" s="1056"/>
      <c r="AH324" s="1056"/>
      <c r="AI324" s="1056"/>
      <c r="AJ324" s="1056"/>
      <c r="AK324" s="1056"/>
      <c r="AL324" s="1056"/>
      <c r="AM324" s="1056"/>
      <c r="AN324" s="1056"/>
      <c r="AO324" s="1056"/>
      <c r="AP324" s="1056"/>
      <c r="AQ324" s="1056"/>
      <c r="AR324" s="1056"/>
      <c r="AS324" s="1056"/>
      <c r="AT324" s="1056"/>
      <c r="AU324" s="1056"/>
      <c r="AV324" s="1056"/>
      <c r="AW324" s="1056"/>
    </row>
    <row r="325" spans="1:49" s="33" customFormat="1" x14ac:dyDescent="0.2">
      <c r="A325" s="1056"/>
      <c r="B325" s="1078"/>
      <c r="C325" s="1079"/>
      <c r="D325" s="1078"/>
      <c r="E325" s="1087"/>
      <c r="F325" s="1087"/>
      <c r="G325" s="1066"/>
      <c r="H325" s="1069"/>
      <c r="I325" s="1069"/>
      <c r="J325" s="1128" t="str">
        <f t="shared" si="21"/>
        <v/>
      </c>
      <c r="K325" s="1069"/>
      <c r="L325" s="1069"/>
      <c r="M325" s="1129" t="str">
        <f t="shared" si="22"/>
        <v/>
      </c>
      <c r="N325" s="1069"/>
      <c r="O325" s="1069"/>
      <c r="P325" s="1129" t="str">
        <f t="shared" si="23"/>
        <v/>
      </c>
      <c r="Q325" s="1069"/>
      <c r="R325" s="1069"/>
      <c r="S325" s="1129" t="str">
        <f t="shared" si="24"/>
        <v/>
      </c>
      <c r="T325" s="1068"/>
      <c r="U325" s="1069"/>
      <c r="V325" s="1267" t="str">
        <f t="shared" si="25"/>
        <v/>
      </c>
      <c r="W325" s="1056"/>
      <c r="X325" s="1056"/>
      <c r="Y325" s="1056"/>
      <c r="Z325" s="1056"/>
      <c r="AA325" s="1056"/>
      <c r="AB325" s="1056"/>
      <c r="AC325" s="1056"/>
      <c r="AD325" s="1056"/>
      <c r="AE325" s="1056"/>
      <c r="AF325" s="1056"/>
      <c r="AG325" s="1056"/>
      <c r="AH325" s="1056"/>
      <c r="AI325" s="1056"/>
      <c r="AJ325" s="1056"/>
      <c r="AK325" s="1056"/>
      <c r="AL325" s="1056"/>
      <c r="AM325" s="1056"/>
      <c r="AN325" s="1056"/>
      <c r="AO325" s="1056"/>
      <c r="AP325" s="1056"/>
      <c r="AQ325" s="1056"/>
      <c r="AR325" s="1056"/>
      <c r="AS325" s="1056"/>
      <c r="AT325" s="1056"/>
      <c r="AU325" s="1056"/>
      <c r="AV325" s="1056"/>
      <c r="AW325" s="1056"/>
    </row>
    <row r="326" spans="1:49" s="33" customFormat="1" x14ac:dyDescent="0.2">
      <c r="A326" s="1056"/>
      <c r="B326" s="1078"/>
      <c r="C326" s="1079"/>
      <c r="D326" s="1078"/>
      <c r="E326" s="1087"/>
      <c r="F326" s="1087"/>
      <c r="G326" s="1066"/>
      <c r="H326" s="1069"/>
      <c r="I326" s="1069"/>
      <c r="J326" s="1128" t="str">
        <f t="shared" si="21"/>
        <v/>
      </c>
      <c r="K326" s="1069"/>
      <c r="L326" s="1069"/>
      <c r="M326" s="1129" t="str">
        <f t="shared" si="22"/>
        <v/>
      </c>
      <c r="N326" s="1069"/>
      <c r="O326" s="1069"/>
      <c r="P326" s="1129" t="str">
        <f t="shared" si="23"/>
        <v/>
      </c>
      <c r="Q326" s="1069"/>
      <c r="R326" s="1069"/>
      <c r="S326" s="1129" t="str">
        <f t="shared" si="24"/>
        <v/>
      </c>
      <c r="T326" s="1068"/>
      <c r="U326" s="1069"/>
      <c r="V326" s="1267" t="str">
        <f t="shared" si="25"/>
        <v/>
      </c>
      <c r="W326" s="1056"/>
      <c r="X326" s="1056"/>
      <c r="Y326" s="1056"/>
      <c r="Z326" s="1056"/>
      <c r="AA326" s="1056"/>
      <c r="AB326" s="1056"/>
      <c r="AC326" s="1056"/>
      <c r="AD326" s="1056"/>
      <c r="AE326" s="1056"/>
      <c r="AF326" s="1056"/>
      <c r="AG326" s="1056"/>
      <c r="AH326" s="1056"/>
      <c r="AI326" s="1056"/>
      <c r="AJ326" s="1056"/>
      <c r="AK326" s="1056"/>
      <c r="AL326" s="1056"/>
      <c r="AM326" s="1056"/>
      <c r="AN326" s="1056"/>
      <c r="AO326" s="1056"/>
      <c r="AP326" s="1056"/>
      <c r="AQ326" s="1056"/>
      <c r="AR326" s="1056"/>
      <c r="AS326" s="1056"/>
      <c r="AT326" s="1056"/>
      <c r="AU326" s="1056"/>
      <c r="AV326" s="1056"/>
      <c r="AW326" s="1056"/>
    </row>
    <row r="327" spans="1:49" s="33" customFormat="1" x14ac:dyDescent="0.2">
      <c r="A327" s="1056"/>
      <c r="B327" s="1078"/>
      <c r="C327" s="1079"/>
      <c r="D327" s="1078"/>
      <c r="E327" s="1087"/>
      <c r="F327" s="1087"/>
      <c r="G327" s="1066"/>
      <c r="H327" s="1069"/>
      <c r="I327" s="1069"/>
      <c r="J327" s="1128" t="str">
        <f t="shared" si="21"/>
        <v/>
      </c>
      <c r="K327" s="1069"/>
      <c r="L327" s="1069"/>
      <c r="M327" s="1129" t="str">
        <f t="shared" si="22"/>
        <v/>
      </c>
      <c r="N327" s="1069"/>
      <c r="O327" s="1069"/>
      <c r="P327" s="1129" t="str">
        <f t="shared" si="23"/>
        <v/>
      </c>
      <c r="Q327" s="1069"/>
      <c r="R327" s="1069"/>
      <c r="S327" s="1129" t="str">
        <f t="shared" si="24"/>
        <v/>
      </c>
      <c r="T327" s="1068"/>
      <c r="U327" s="1069"/>
      <c r="V327" s="1267" t="str">
        <f t="shared" si="25"/>
        <v/>
      </c>
      <c r="W327" s="1056"/>
      <c r="X327" s="1056"/>
      <c r="Y327" s="1056"/>
      <c r="Z327" s="1056"/>
      <c r="AA327" s="1056"/>
      <c r="AB327" s="1056"/>
      <c r="AC327" s="1056"/>
      <c r="AD327" s="1056"/>
      <c r="AE327" s="1056"/>
      <c r="AF327" s="1056"/>
      <c r="AG327" s="1056"/>
      <c r="AH327" s="1056"/>
      <c r="AI327" s="1056"/>
      <c r="AJ327" s="1056"/>
      <c r="AK327" s="1056"/>
      <c r="AL327" s="1056"/>
      <c r="AM327" s="1056"/>
      <c r="AN327" s="1056"/>
      <c r="AO327" s="1056"/>
      <c r="AP327" s="1056"/>
      <c r="AQ327" s="1056"/>
      <c r="AR327" s="1056"/>
      <c r="AS327" s="1056"/>
      <c r="AT327" s="1056"/>
      <c r="AU327" s="1056"/>
      <c r="AV327" s="1056"/>
      <c r="AW327" s="1056"/>
    </row>
    <row r="328" spans="1:49" s="33" customFormat="1" x14ac:dyDescent="0.2">
      <c r="A328" s="1056"/>
      <c r="B328" s="1078"/>
      <c r="C328" s="1079"/>
      <c r="D328" s="1078"/>
      <c r="E328" s="1087"/>
      <c r="F328" s="1087"/>
      <c r="G328" s="1066"/>
      <c r="H328" s="1069"/>
      <c r="I328" s="1069"/>
      <c r="J328" s="1128" t="str">
        <f t="shared" si="21"/>
        <v/>
      </c>
      <c r="K328" s="1069"/>
      <c r="L328" s="1069"/>
      <c r="M328" s="1129" t="str">
        <f t="shared" si="22"/>
        <v/>
      </c>
      <c r="N328" s="1069"/>
      <c r="O328" s="1069"/>
      <c r="P328" s="1129" t="str">
        <f t="shared" si="23"/>
        <v/>
      </c>
      <c r="Q328" s="1069"/>
      <c r="R328" s="1069"/>
      <c r="S328" s="1129" t="str">
        <f t="shared" si="24"/>
        <v/>
      </c>
      <c r="T328" s="1068"/>
      <c r="U328" s="1069"/>
      <c r="V328" s="1267" t="str">
        <f t="shared" si="25"/>
        <v/>
      </c>
      <c r="W328" s="1056"/>
      <c r="X328" s="1056"/>
      <c r="Y328" s="1056"/>
      <c r="Z328" s="1056"/>
      <c r="AA328" s="1056"/>
      <c r="AB328" s="1056"/>
      <c r="AC328" s="1056"/>
      <c r="AD328" s="1056"/>
      <c r="AE328" s="1056"/>
      <c r="AF328" s="1056"/>
      <c r="AG328" s="1056"/>
      <c r="AH328" s="1056"/>
      <c r="AI328" s="1056"/>
      <c r="AJ328" s="1056"/>
      <c r="AK328" s="1056"/>
      <c r="AL328" s="1056"/>
      <c r="AM328" s="1056"/>
      <c r="AN328" s="1056"/>
      <c r="AO328" s="1056"/>
      <c r="AP328" s="1056"/>
      <c r="AQ328" s="1056"/>
      <c r="AR328" s="1056"/>
      <c r="AS328" s="1056"/>
      <c r="AT328" s="1056"/>
      <c r="AU328" s="1056"/>
      <c r="AV328" s="1056"/>
      <c r="AW328" s="1056"/>
    </row>
    <row r="329" spans="1:49" s="33" customFormat="1" x14ac:dyDescent="0.2">
      <c r="A329" s="1056"/>
      <c r="B329" s="1078"/>
      <c r="C329" s="1079"/>
      <c r="D329" s="1078"/>
      <c r="E329" s="1087"/>
      <c r="F329" s="1087"/>
      <c r="G329" s="1066"/>
      <c r="H329" s="1069"/>
      <c r="I329" s="1069"/>
      <c r="J329" s="1128" t="str">
        <f t="shared" si="21"/>
        <v/>
      </c>
      <c r="K329" s="1069"/>
      <c r="L329" s="1069"/>
      <c r="M329" s="1129" t="str">
        <f t="shared" si="22"/>
        <v/>
      </c>
      <c r="N329" s="1069"/>
      <c r="O329" s="1069"/>
      <c r="P329" s="1129" t="str">
        <f t="shared" si="23"/>
        <v/>
      </c>
      <c r="Q329" s="1069"/>
      <c r="R329" s="1069"/>
      <c r="S329" s="1129" t="str">
        <f t="shared" si="24"/>
        <v/>
      </c>
      <c r="T329" s="1068"/>
      <c r="U329" s="1069"/>
      <c r="V329" s="1267" t="str">
        <f t="shared" si="25"/>
        <v/>
      </c>
      <c r="W329" s="1056"/>
      <c r="X329" s="1056"/>
      <c r="Y329" s="1056"/>
      <c r="Z329" s="1056"/>
      <c r="AA329" s="1056"/>
      <c r="AB329" s="1056"/>
      <c r="AC329" s="1056"/>
      <c r="AD329" s="1056"/>
      <c r="AE329" s="1056"/>
      <c r="AF329" s="1056"/>
      <c r="AG329" s="1056"/>
      <c r="AH329" s="1056"/>
      <c r="AI329" s="1056"/>
      <c r="AJ329" s="1056"/>
      <c r="AK329" s="1056"/>
      <c r="AL329" s="1056"/>
      <c r="AM329" s="1056"/>
      <c r="AN329" s="1056"/>
      <c r="AO329" s="1056"/>
      <c r="AP329" s="1056"/>
      <c r="AQ329" s="1056"/>
      <c r="AR329" s="1056"/>
      <c r="AS329" s="1056"/>
      <c r="AT329" s="1056"/>
      <c r="AU329" s="1056"/>
      <c r="AV329" s="1056"/>
      <c r="AW329" s="1056"/>
    </row>
    <row r="330" spans="1:49" s="33" customFormat="1" x14ac:dyDescent="0.2">
      <c r="A330" s="1056"/>
      <c r="B330" s="1078"/>
      <c r="C330" s="1079"/>
      <c r="D330" s="1078"/>
      <c r="E330" s="1087"/>
      <c r="F330" s="1087"/>
      <c r="G330" s="1066"/>
      <c r="H330" s="1069"/>
      <c r="I330" s="1069"/>
      <c r="J330" s="1128" t="str">
        <f t="shared" si="21"/>
        <v/>
      </c>
      <c r="K330" s="1069"/>
      <c r="L330" s="1069"/>
      <c r="M330" s="1129" t="str">
        <f t="shared" si="22"/>
        <v/>
      </c>
      <c r="N330" s="1069"/>
      <c r="O330" s="1069"/>
      <c r="P330" s="1129" t="str">
        <f t="shared" si="23"/>
        <v/>
      </c>
      <c r="Q330" s="1069"/>
      <c r="R330" s="1069"/>
      <c r="S330" s="1129" t="str">
        <f t="shared" si="24"/>
        <v/>
      </c>
      <c r="T330" s="1068"/>
      <c r="U330" s="1069"/>
      <c r="V330" s="1267" t="str">
        <f t="shared" si="25"/>
        <v/>
      </c>
      <c r="W330" s="1056"/>
      <c r="X330" s="1056"/>
      <c r="Y330" s="1056"/>
      <c r="Z330" s="1056"/>
      <c r="AA330" s="1056"/>
      <c r="AB330" s="1056"/>
      <c r="AC330" s="1056"/>
      <c r="AD330" s="1056"/>
      <c r="AE330" s="1056"/>
      <c r="AF330" s="1056"/>
      <c r="AG330" s="1056"/>
      <c r="AH330" s="1056"/>
      <c r="AI330" s="1056"/>
      <c r="AJ330" s="1056"/>
      <c r="AK330" s="1056"/>
      <c r="AL330" s="1056"/>
      <c r="AM330" s="1056"/>
      <c r="AN330" s="1056"/>
      <c r="AO330" s="1056"/>
      <c r="AP330" s="1056"/>
      <c r="AQ330" s="1056"/>
      <c r="AR330" s="1056"/>
      <c r="AS330" s="1056"/>
      <c r="AT330" s="1056"/>
      <c r="AU330" s="1056"/>
      <c r="AV330" s="1056"/>
      <c r="AW330" s="1056"/>
    </row>
    <row r="331" spans="1:49" s="33" customFormat="1" x14ac:dyDescent="0.2">
      <c r="A331" s="1056"/>
      <c r="B331" s="1078"/>
      <c r="C331" s="1079"/>
      <c r="D331" s="1078"/>
      <c r="E331" s="1087"/>
      <c r="F331" s="1087"/>
      <c r="G331" s="1066"/>
      <c r="H331" s="1069"/>
      <c r="I331" s="1069"/>
      <c r="J331" s="1128" t="str">
        <f t="shared" si="21"/>
        <v/>
      </c>
      <c r="K331" s="1069"/>
      <c r="L331" s="1069"/>
      <c r="M331" s="1129" t="str">
        <f t="shared" si="22"/>
        <v/>
      </c>
      <c r="N331" s="1069"/>
      <c r="O331" s="1069"/>
      <c r="P331" s="1129" t="str">
        <f t="shared" si="23"/>
        <v/>
      </c>
      <c r="Q331" s="1069"/>
      <c r="R331" s="1069"/>
      <c r="S331" s="1129" t="str">
        <f t="shared" si="24"/>
        <v/>
      </c>
      <c r="T331" s="1068"/>
      <c r="U331" s="1069"/>
      <c r="V331" s="1267" t="str">
        <f t="shared" si="25"/>
        <v/>
      </c>
      <c r="W331" s="1056"/>
      <c r="X331" s="1056"/>
      <c r="Y331" s="1056"/>
      <c r="Z331" s="1056"/>
      <c r="AA331" s="1056"/>
      <c r="AB331" s="1056"/>
      <c r="AC331" s="1056"/>
      <c r="AD331" s="1056"/>
      <c r="AE331" s="1056"/>
      <c r="AF331" s="1056"/>
      <c r="AG331" s="1056"/>
      <c r="AH331" s="1056"/>
      <c r="AI331" s="1056"/>
      <c r="AJ331" s="1056"/>
      <c r="AK331" s="1056"/>
      <c r="AL331" s="1056"/>
      <c r="AM331" s="1056"/>
      <c r="AN331" s="1056"/>
      <c r="AO331" s="1056"/>
      <c r="AP331" s="1056"/>
      <c r="AQ331" s="1056"/>
      <c r="AR331" s="1056"/>
      <c r="AS331" s="1056"/>
      <c r="AT331" s="1056"/>
      <c r="AU331" s="1056"/>
      <c r="AV331" s="1056"/>
      <c r="AW331" s="1056"/>
    </row>
    <row r="332" spans="1:49" s="33" customFormat="1" x14ac:dyDescent="0.2">
      <c r="A332" s="1056"/>
      <c r="B332" s="1078"/>
      <c r="C332" s="1079"/>
      <c r="D332" s="1078"/>
      <c r="E332" s="1087"/>
      <c r="F332" s="1087"/>
      <c r="G332" s="1066"/>
      <c r="H332" s="1069"/>
      <c r="I332" s="1069"/>
      <c r="J332" s="1128" t="str">
        <f t="shared" si="21"/>
        <v/>
      </c>
      <c r="K332" s="1069"/>
      <c r="L332" s="1069"/>
      <c r="M332" s="1129" t="str">
        <f t="shared" si="22"/>
        <v/>
      </c>
      <c r="N332" s="1069"/>
      <c r="O332" s="1069"/>
      <c r="P332" s="1129" t="str">
        <f t="shared" si="23"/>
        <v/>
      </c>
      <c r="Q332" s="1069"/>
      <c r="R332" s="1069"/>
      <c r="S332" s="1129" t="str">
        <f t="shared" si="24"/>
        <v/>
      </c>
      <c r="T332" s="1068"/>
      <c r="U332" s="1069"/>
      <c r="V332" s="1267" t="str">
        <f t="shared" si="25"/>
        <v/>
      </c>
      <c r="W332" s="1056"/>
      <c r="X332" s="1056"/>
      <c r="Y332" s="1056"/>
      <c r="Z332" s="1056"/>
      <c r="AA332" s="1056"/>
      <c r="AB332" s="1056"/>
      <c r="AC332" s="1056"/>
      <c r="AD332" s="1056"/>
      <c r="AE332" s="1056"/>
      <c r="AF332" s="1056"/>
      <c r="AG332" s="1056"/>
      <c r="AH332" s="1056"/>
      <c r="AI332" s="1056"/>
      <c r="AJ332" s="1056"/>
      <c r="AK332" s="1056"/>
      <c r="AL332" s="1056"/>
      <c r="AM332" s="1056"/>
      <c r="AN332" s="1056"/>
      <c r="AO332" s="1056"/>
      <c r="AP332" s="1056"/>
      <c r="AQ332" s="1056"/>
      <c r="AR332" s="1056"/>
      <c r="AS332" s="1056"/>
      <c r="AT332" s="1056"/>
      <c r="AU332" s="1056"/>
      <c r="AV332" s="1056"/>
      <c r="AW332" s="1056"/>
    </row>
    <row r="333" spans="1:49" s="33" customFormat="1" x14ac:dyDescent="0.2">
      <c r="A333" s="1056"/>
      <c r="B333" s="1078"/>
      <c r="C333" s="1079"/>
      <c r="D333" s="1078"/>
      <c r="E333" s="1087"/>
      <c r="F333" s="1087"/>
      <c r="G333" s="1066"/>
      <c r="H333" s="1069"/>
      <c r="I333" s="1069"/>
      <c r="J333" s="1128" t="str">
        <f t="shared" si="21"/>
        <v/>
      </c>
      <c r="K333" s="1069"/>
      <c r="L333" s="1069"/>
      <c r="M333" s="1129" t="str">
        <f t="shared" si="22"/>
        <v/>
      </c>
      <c r="N333" s="1069"/>
      <c r="O333" s="1069"/>
      <c r="P333" s="1129" t="str">
        <f t="shared" si="23"/>
        <v/>
      </c>
      <c r="Q333" s="1069"/>
      <c r="R333" s="1069"/>
      <c r="S333" s="1129" t="str">
        <f t="shared" si="24"/>
        <v/>
      </c>
      <c r="T333" s="1068"/>
      <c r="U333" s="1069"/>
      <c r="V333" s="1267" t="str">
        <f t="shared" si="25"/>
        <v/>
      </c>
      <c r="W333" s="1056"/>
      <c r="X333" s="1056"/>
      <c r="Y333" s="1056"/>
      <c r="Z333" s="1056"/>
      <c r="AA333" s="1056"/>
      <c r="AB333" s="1056"/>
      <c r="AC333" s="1056"/>
      <c r="AD333" s="1056"/>
      <c r="AE333" s="1056"/>
      <c r="AF333" s="1056"/>
      <c r="AG333" s="1056"/>
      <c r="AH333" s="1056"/>
      <c r="AI333" s="1056"/>
      <c r="AJ333" s="1056"/>
      <c r="AK333" s="1056"/>
      <c r="AL333" s="1056"/>
      <c r="AM333" s="1056"/>
      <c r="AN333" s="1056"/>
      <c r="AO333" s="1056"/>
      <c r="AP333" s="1056"/>
      <c r="AQ333" s="1056"/>
      <c r="AR333" s="1056"/>
      <c r="AS333" s="1056"/>
      <c r="AT333" s="1056"/>
      <c r="AU333" s="1056"/>
      <c r="AV333" s="1056"/>
      <c r="AW333" s="1056"/>
    </row>
    <row r="334" spans="1:49" s="33" customFormat="1" x14ac:dyDescent="0.2">
      <c r="A334" s="1056"/>
      <c r="B334" s="1078"/>
      <c r="C334" s="1079"/>
      <c r="D334" s="1078"/>
      <c r="E334" s="1090"/>
      <c r="F334" s="1090"/>
      <c r="G334" s="1066"/>
      <c r="H334" s="1069"/>
      <c r="I334" s="1069"/>
      <c r="J334" s="1128" t="str">
        <f t="shared" si="21"/>
        <v/>
      </c>
      <c r="K334" s="1069"/>
      <c r="L334" s="1069"/>
      <c r="M334" s="1129" t="str">
        <f t="shared" si="22"/>
        <v/>
      </c>
      <c r="N334" s="1069"/>
      <c r="O334" s="1069"/>
      <c r="P334" s="1129" t="str">
        <f t="shared" si="23"/>
        <v/>
      </c>
      <c r="Q334" s="1069"/>
      <c r="R334" s="1069"/>
      <c r="S334" s="1129" t="str">
        <f t="shared" si="24"/>
        <v/>
      </c>
      <c r="T334" s="1068"/>
      <c r="U334" s="1069"/>
      <c r="V334" s="1267" t="str">
        <f t="shared" si="25"/>
        <v/>
      </c>
      <c r="W334" s="1056"/>
      <c r="X334" s="1056"/>
      <c r="Y334" s="1056"/>
      <c r="Z334" s="1056"/>
      <c r="AA334" s="1056"/>
      <c r="AB334" s="1056"/>
      <c r="AC334" s="1056"/>
      <c r="AD334" s="1056"/>
      <c r="AE334" s="1056"/>
      <c r="AF334" s="1056"/>
      <c r="AG334" s="1056"/>
      <c r="AH334" s="1056"/>
      <c r="AI334" s="1056"/>
      <c r="AJ334" s="1056"/>
      <c r="AK334" s="1056"/>
      <c r="AL334" s="1056"/>
      <c r="AM334" s="1056"/>
      <c r="AN334" s="1056"/>
      <c r="AO334" s="1056"/>
      <c r="AP334" s="1056"/>
      <c r="AQ334" s="1056"/>
      <c r="AR334" s="1056"/>
      <c r="AS334" s="1056"/>
      <c r="AT334" s="1056"/>
      <c r="AU334" s="1056"/>
      <c r="AV334" s="1056"/>
      <c r="AW334" s="1056"/>
    </row>
    <row r="335" spans="1:49" s="33" customFormat="1" x14ac:dyDescent="0.2">
      <c r="A335" s="1056"/>
      <c r="B335" s="1078"/>
      <c r="C335" s="1079"/>
      <c r="D335" s="1078"/>
      <c r="E335" s="1081"/>
      <c r="F335" s="1081"/>
      <c r="G335" s="1066"/>
      <c r="H335" s="1069"/>
      <c r="I335" s="1069"/>
      <c r="J335" s="1128" t="str">
        <f t="shared" si="21"/>
        <v/>
      </c>
      <c r="K335" s="1069"/>
      <c r="L335" s="1069"/>
      <c r="M335" s="1129" t="str">
        <f t="shared" si="22"/>
        <v/>
      </c>
      <c r="N335" s="1069"/>
      <c r="O335" s="1069"/>
      <c r="P335" s="1129" t="str">
        <f t="shared" si="23"/>
        <v/>
      </c>
      <c r="Q335" s="1069"/>
      <c r="R335" s="1069"/>
      <c r="S335" s="1129" t="str">
        <f t="shared" si="24"/>
        <v/>
      </c>
      <c r="T335" s="1068"/>
      <c r="U335" s="1069"/>
      <c r="V335" s="1267" t="str">
        <f t="shared" si="25"/>
        <v/>
      </c>
      <c r="W335" s="1056"/>
      <c r="X335" s="1056"/>
      <c r="Y335" s="1056"/>
      <c r="Z335" s="1056"/>
      <c r="AA335" s="1056"/>
      <c r="AB335" s="1056"/>
      <c r="AC335" s="1056"/>
      <c r="AD335" s="1056"/>
      <c r="AE335" s="1056"/>
      <c r="AF335" s="1056"/>
      <c r="AG335" s="1056"/>
      <c r="AH335" s="1056"/>
      <c r="AI335" s="1056"/>
      <c r="AJ335" s="1056"/>
      <c r="AK335" s="1056"/>
      <c r="AL335" s="1056"/>
      <c r="AM335" s="1056"/>
      <c r="AN335" s="1056"/>
      <c r="AO335" s="1056"/>
      <c r="AP335" s="1056"/>
      <c r="AQ335" s="1056"/>
      <c r="AR335" s="1056"/>
      <c r="AS335" s="1056"/>
      <c r="AT335" s="1056"/>
      <c r="AU335" s="1056"/>
      <c r="AV335" s="1056"/>
      <c r="AW335" s="1056"/>
    </row>
    <row r="336" spans="1:49" s="33" customFormat="1" x14ac:dyDescent="0.2">
      <c r="A336" s="1056"/>
      <c r="B336" s="1078"/>
      <c r="C336" s="1079"/>
      <c r="D336" s="1078"/>
      <c r="E336" s="1091"/>
      <c r="F336" s="1091"/>
      <c r="G336" s="1066"/>
      <c r="H336" s="1069"/>
      <c r="I336" s="1069"/>
      <c r="J336" s="1128" t="str">
        <f t="shared" si="21"/>
        <v/>
      </c>
      <c r="K336" s="1069"/>
      <c r="L336" s="1069"/>
      <c r="M336" s="1129" t="str">
        <f t="shared" si="22"/>
        <v/>
      </c>
      <c r="N336" s="1069"/>
      <c r="O336" s="1069"/>
      <c r="P336" s="1129" t="str">
        <f t="shared" si="23"/>
        <v/>
      </c>
      <c r="Q336" s="1069"/>
      <c r="R336" s="1069"/>
      <c r="S336" s="1129" t="str">
        <f t="shared" si="24"/>
        <v/>
      </c>
      <c r="T336" s="1068"/>
      <c r="U336" s="1069"/>
      <c r="V336" s="1267" t="str">
        <f t="shared" si="25"/>
        <v/>
      </c>
      <c r="W336" s="1056"/>
      <c r="X336" s="1056"/>
      <c r="Y336" s="1056"/>
      <c r="Z336" s="1056"/>
      <c r="AA336" s="1056"/>
      <c r="AB336" s="1056"/>
      <c r="AC336" s="1056"/>
      <c r="AD336" s="1056"/>
      <c r="AE336" s="1056"/>
      <c r="AF336" s="1056"/>
      <c r="AG336" s="1056"/>
      <c r="AH336" s="1056"/>
      <c r="AI336" s="1056"/>
      <c r="AJ336" s="1056"/>
      <c r="AK336" s="1056"/>
      <c r="AL336" s="1056"/>
      <c r="AM336" s="1056"/>
      <c r="AN336" s="1056"/>
      <c r="AO336" s="1056"/>
      <c r="AP336" s="1056"/>
      <c r="AQ336" s="1056"/>
      <c r="AR336" s="1056"/>
      <c r="AS336" s="1056"/>
      <c r="AT336" s="1056"/>
      <c r="AU336" s="1056"/>
      <c r="AV336" s="1056"/>
      <c r="AW336" s="1056"/>
    </row>
    <row r="337" spans="1:49" s="33" customFormat="1" x14ac:dyDescent="0.2">
      <c r="A337" s="1056"/>
      <c r="B337" s="1078"/>
      <c r="C337" s="1079"/>
      <c r="D337" s="1078"/>
      <c r="E337" s="1092"/>
      <c r="F337" s="1092"/>
      <c r="G337" s="1066"/>
      <c r="H337" s="1069"/>
      <c r="I337" s="1069"/>
      <c r="J337" s="1128" t="str">
        <f t="shared" si="21"/>
        <v/>
      </c>
      <c r="K337" s="1069"/>
      <c r="L337" s="1069"/>
      <c r="M337" s="1129" t="str">
        <f t="shared" si="22"/>
        <v/>
      </c>
      <c r="N337" s="1069"/>
      <c r="O337" s="1069"/>
      <c r="P337" s="1129" t="str">
        <f t="shared" si="23"/>
        <v/>
      </c>
      <c r="Q337" s="1069"/>
      <c r="R337" s="1069"/>
      <c r="S337" s="1129" t="str">
        <f t="shared" si="24"/>
        <v/>
      </c>
      <c r="T337" s="1068"/>
      <c r="U337" s="1069"/>
      <c r="V337" s="1267" t="str">
        <f t="shared" si="25"/>
        <v/>
      </c>
      <c r="W337" s="1056"/>
      <c r="X337" s="1056"/>
      <c r="Y337" s="1056"/>
      <c r="Z337" s="1056"/>
      <c r="AA337" s="1056"/>
      <c r="AB337" s="1056"/>
      <c r="AC337" s="1056"/>
      <c r="AD337" s="1056"/>
      <c r="AE337" s="1056"/>
      <c r="AF337" s="1056"/>
      <c r="AG337" s="1056"/>
      <c r="AH337" s="1056"/>
      <c r="AI337" s="1056"/>
      <c r="AJ337" s="1056"/>
      <c r="AK337" s="1056"/>
      <c r="AL337" s="1056"/>
      <c r="AM337" s="1056"/>
      <c r="AN337" s="1056"/>
      <c r="AO337" s="1056"/>
      <c r="AP337" s="1056"/>
      <c r="AQ337" s="1056"/>
      <c r="AR337" s="1056"/>
      <c r="AS337" s="1056"/>
      <c r="AT337" s="1056"/>
      <c r="AU337" s="1056"/>
      <c r="AV337" s="1056"/>
      <c r="AW337" s="1056"/>
    </row>
    <row r="338" spans="1:49" s="33" customFormat="1" x14ac:dyDescent="0.2">
      <c r="A338" s="1056"/>
      <c r="B338" s="1078"/>
      <c r="C338" s="1079"/>
      <c r="D338" s="1078"/>
      <c r="E338" s="1092"/>
      <c r="F338" s="1092"/>
      <c r="G338" s="1066"/>
      <c r="H338" s="1069"/>
      <c r="I338" s="1069"/>
      <c r="J338" s="1128" t="str">
        <f t="shared" si="21"/>
        <v/>
      </c>
      <c r="K338" s="1069"/>
      <c r="L338" s="1069"/>
      <c r="M338" s="1129" t="str">
        <f t="shared" si="22"/>
        <v/>
      </c>
      <c r="N338" s="1069"/>
      <c r="O338" s="1069"/>
      <c r="P338" s="1129" t="str">
        <f t="shared" si="23"/>
        <v/>
      </c>
      <c r="Q338" s="1069"/>
      <c r="R338" s="1069"/>
      <c r="S338" s="1129" t="str">
        <f t="shared" si="24"/>
        <v/>
      </c>
      <c r="T338" s="1068"/>
      <c r="U338" s="1069"/>
      <c r="V338" s="1267" t="str">
        <f t="shared" si="25"/>
        <v/>
      </c>
      <c r="W338" s="1056"/>
      <c r="X338" s="1056"/>
      <c r="Y338" s="1056"/>
      <c r="Z338" s="1056"/>
      <c r="AA338" s="1056"/>
      <c r="AB338" s="1056"/>
      <c r="AC338" s="1056"/>
      <c r="AD338" s="1056"/>
      <c r="AE338" s="1056"/>
      <c r="AF338" s="1056"/>
      <c r="AG338" s="1056"/>
      <c r="AH338" s="1056"/>
      <c r="AI338" s="1056"/>
      <c r="AJ338" s="1056"/>
      <c r="AK338" s="1056"/>
      <c r="AL338" s="1056"/>
      <c r="AM338" s="1056"/>
      <c r="AN338" s="1056"/>
      <c r="AO338" s="1056"/>
      <c r="AP338" s="1056"/>
      <c r="AQ338" s="1056"/>
      <c r="AR338" s="1056"/>
      <c r="AS338" s="1056"/>
      <c r="AT338" s="1056"/>
      <c r="AU338" s="1056"/>
      <c r="AV338" s="1056"/>
      <c r="AW338" s="1056"/>
    </row>
    <row r="339" spans="1:49" s="33" customFormat="1" x14ac:dyDescent="0.2">
      <c r="A339" s="1056"/>
      <c r="B339" s="1078"/>
      <c r="C339" s="1079"/>
      <c r="D339" s="1078"/>
      <c r="E339" s="1092"/>
      <c r="F339" s="1092"/>
      <c r="G339" s="1066"/>
      <c r="H339" s="1069"/>
      <c r="I339" s="1069"/>
      <c r="J339" s="1128" t="str">
        <f t="shared" si="21"/>
        <v/>
      </c>
      <c r="K339" s="1069"/>
      <c r="L339" s="1069"/>
      <c r="M339" s="1129" t="str">
        <f t="shared" si="22"/>
        <v/>
      </c>
      <c r="N339" s="1069"/>
      <c r="O339" s="1069"/>
      <c r="P339" s="1129" t="str">
        <f t="shared" si="23"/>
        <v/>
      </c>
      <c r="Q339" s="1069"/>
      <c r="R339" s="1069"/>
      <c r="S339" s="1129" t="str">
        <f t="shared" si="24"/>
        <v/>
      </c>
      <c r="T339" s="1068"/>
      <c r="U339" s="1069"/>
      <c r="V339" s="1267" t="str">
        <f t="shared" si="25"/>
        <v/>
      </c>
      <c r="W339" s="1056"/>
      <c r="X339" s="1056"/>
      <c r="Y339" s="1056"/>
      <c r="Z339" s="1056"/>
      <c r="AA339" s="1056"/>
      <c r="AB339" s="1056"/>
      <c r="AC339" s="1056"/>
      <c r="AD339" s="1056"/>
      <c r="AE339" s="1056"/>
      <c r="AF339" s="1056"/>
      <c r="AG339" s="1056"/>
      <c r="AH339" s="1056"/>
      <c r="AI339" s="1056"/>
      <c r="AJ339" s="1056"/>
      <c r="AK339" s="1056"/>
      <c r="AL339" s="1056"/>
      <c r="AM339" s="1056"/>
      <c r="AN339" s="1056"/>
      <c r="AO339" s="1056"/>
      <c r="AP339" s="1056"/>
      <c r="AQ339" s="1056"/>
      <c r="AR339" s="1056"/>
      <c r="AS339" s="1056"/>
      <c r="AT339" s="1056"/>
      <c r="AU339" s="1056"/>
      <c r="AV339" s="1056"/>
      <c r="AW339" s="1056"/>
    </row>
    <row r="340" spans="1:49" s="33" customFormat="1" x14ac:dyDescent="0.2">
      <c r="A340" s="1056"/>
      <c r="B340" s="1078"/>
      <c r="C340" s="1079"/>
      <c r="D340" s="1078"/>
      <c r="E340" s="1092"/>
      <c r="F340" s="1092"/>
      <c r="G340" s="1066"/>
      <c r="H340" s="1069"/>
      <c r="I340" s="1069"/>
      <c r="J340" s="1128" t="str">
        <f t="shared" si="21"/>
        <v/>
      </c>
      <c r="K340" s="1069"/>
      <c r="L340" s="1069"/>
      <c r="M340" s="1129" t="str">
        <f t="shared" si="22"/>
        <v/>
      </c>
      <c r="N340" s="1069"/>
      <c r="O340" s="1069"/>
      <c r="P340" s="1129" t="str">
        <f t="shared" si="23"/>
        <v/>
      </c>
      <c r="Q340" s="1069"/>
      <c r="R340" s="1069"/>
      <c r="S340" s="1129" t="str">
        <f t="shared" si="24"/>
        <v/>
      </c>
      <c r="T340" s="1068"/>
      <c r="U340" s="1069"/>
      <c r="V340" s="1267" t="str">
        <f t="shared" si="25"/>
        <v/>
      </c>
      <c r="W340" s="1056"/>
      <c r="X340" s="1056"/>
      <c r="Y340" s="1056"/>
      <c r="Z340" s="1056"/>
      <c r="AA340" s="1056"/>
      <c r="AB340" s="1056"/>
      <c r="AC340" s="1056"/>
      <c r="AD340" s="1056"/>
      <c r="AE340" s="1056"/>
      <c r="AF340" s="1056"/>
      <c r="AG340" s="1056"/>
      <c r="AH340" s="1056"/>
      <c r="AI340" s="1056"/>
      <c r="AJ340" s="1056"/>
      <c r="AK340" s="1056"/>
      <c r="AL340" s="1056"/>
      <c r="AM340" s="1056"/>
      <c r="AN340" s="1056"/>
      <c r="AO340" s="1056"/>
      <c r="AP340" s="1056"/>
      <c r="AQ340" s="1056"/>
      <c r="AR340" s="1056"/>
      <c r="AS340" s="1056"/>
      <c r="AT340" s="1056"/>
      <c r="AU340" s="1056"/>
      <c r="AV340" s="1056"/>
      <c r="AW340" s="1056"/>
    </row>
    <row r="341" spans="1:49" s="33" customFormat="1" x14ac:dyDescent="0.2">
      <c r="A341" s="1056"/>
      <c r="B341" s="1078"/>
      <c r="C341" s="1079"/>
      <c r="D341" s="1078"/>
      <c r="E341" s="1092"/>
      <c r="F341" s="1092"/>
      <c r="G341" s="1066"/>
      <c r="H341" s="1069"/>
      <c r="I341" s="1069"/>
      <c r="J341" s="1128" t="str">
        <f t="shared" si="21"/>
        <v/>
      </c>
      <c r="K341" s="1069"/>
      <c r="L341" s="1069"/>
      <c r="M341" s="1129" t="str">
        <f t="shared" si="22"/>
        <v/>
      </c>
      <c r="N341" s="1069"/>
      <c r="O341" s="1069"/>
      <c r="P341" s="1129" t="str">
        <f t="shared" si="23"/>
        <v/>
      </c>
      <c r="Q341" s="1069"/>
      <c r="R341" s="1069"/>
      <c r="S341" s="1129" t="str">
        <f t="shared" si="24"/>
        <v/>
      </c>
      <c r="T341" s="1068"/>
      <c r="U341" s="1069"/>
      <c r="V341" s="1267" t="str">
        <f t="shared" si="25"/>
        <v/>
      </c>
      <c r="W341" s="1056"/>
      <c r="X341" s="1056"/>
      <c r="Y341" s="1056"/>
      <c r="Z341" s="1056"/>
      <c r="AA341" s="1056"/>
      <c r="AB341" s="1056"/>
      <c r="AC341" s="1056"/>
      <c r="AD341" s="1056"/>
      <c r="AE341" s="1056"/>
      <c r="AF341" s="1056"/>
      <c r="AG341" s="1056"/>
      <c r="AH341" s="1056"/>
      <c r="AI341" s="1056"/>
      <c r="AJ341" s="1056"/>
      <c r="AK341" s="1056"/>
      <c r="AL341" s="1056"/>
      <c r="AM341" s="1056"/>
      <c r="AN341" s="1056"/>
      <c r="AO341" s="1056"/>
      <c r="AP341" s="1056"/>
      <c r="AQ341" s="1056"/>
      <c r="AR341" s="1056"/>
      <c r="AS341" s="1056"/>
      <c r="AT341" s="1056"/>
      <c r="AU341" s="1056"/>
      <c r="AV341" s="1056"/>
      <c r="AW341" s="1056"/>
    </row>
    <row r="342" spans="1:49" s="33" customFormat="1" x14ac:dyDescent="0.2">
      <c r="A342" s="1056"/>
      <c r="B342" s="1078"/>
      <c r="C342" s="1079"/>
      <c r="D342" s="1078"/>
      <c r="E342" s="1092"/>
      <c r="F342" s="1092"/>
      <c r="G342" s="1066"/>
      <c r="H342" s="1069"/>
      <c r="I342" s="1069"/>
      <c r="J342" s="1128" t="str">
        <f t="shared" si="21"/>
        <v/>
      </c>
      <c r="K342" s="1069"/>
      <c r="L342" s="1069"/>
      <c r="M342" s="1129" t="str">
        <f t="shared" si="22"/>
        <v/>
      </c>
      <c r="N342" s="1069"/>
      <c r="O342" s="1069"/>
      <c r="P342" s="1129" t="str">
        <f t="shared" si="23"/>
        <v/>
      </c>
      <c r="Q342" s="1069"/>
      <c r="R342" s="1069"/>
      <c r="S342" s="1129" t="str">
        <f t="shared" si="24"/>
        <v/>
      </c>
      <c r="T342" s="1068"/>
      <c r="U342" s="1069"/>
      <c r="V342" s="1267" t="str">
        <f t="shared" si="25"/>
        <v/>
      </c>
      <c r="W342" s="1056"/>
      <c r="X342" s="1056"/>
      <c r="Y342" s="1056"/>
      <c r="Z342" s="1056"/>
      <c r="AA342" s="1056"/>
      <c r="AB342" s="1056"/>
      <c r="AC342" s="1056"/>
      <c r="AD342" s="1056"/>
      <c r="AE342" s="1056"/>
      <c r="AF342" s="1056"/>
      <c r="AG342" s="1056"/>
      <c r="AH342" s="1056"/>
      <c r="AI342" s="1056"/>
      <c r="AJ342" s="1056"/>
      <c r="AK342" s="1056"/>
      <c r="AL342" s="1056"/>
      <c r="AM342" s="1056"/>
      <c r="AN342" s="1056"/>
      <c r="AO342" s="1056"/>
      <c r="AP342" s="1056"/>
      <c r="AQ342" s="1056"/>
      <c r="AR342" s="1056"/>
      <c r="AS342" s="1056"/>
      <c r="AT342" s="1056"/>
      <c r="AU342" s="1056"/>
      <c r="AV342" s="1056"/>
      <c r="AW342" s="1056"/>
    </row>
    <row r="343" spans="1:49" s="33" customFormat="1" x14ac:dyDescent="0.2">
      <c r="A343" s="1056"/>
      <c r="B343" s="1078"/>
      <c r="C343" s="1079"/>
      <c r="D343" s="1078"/>
      <c r="E343" s="1092"/>
      <c r="F343" s="1092"/>
      <c r="G343" s="1066"/>
      <c r="H343" s="1069"/>
      <c r="I343" s="1069"/>
      <c r="J343" s="1128" t="str">
        <f t="shared" si="21"/>
        <v/>
      </c>
      <c r="K343" s="1069"/>
      <c r="L343" s="1069"/>
      <c r="M343" s="1129" t="str">
        <f t="shared" si="22"/>
        <v/>
      </c>
      <c r="N343" s="1069"/>
      <c r="O343" s="1069"/>
      <c r="P343" s="1129" t="str">
        <f t="shared" si="23"/>
        <v/>
      </c>
      <c r="Q343" s="1069"/>
      <c r="R343" s="1069"/>
      <c r="S343" s="1129" t="str">
        <f t="shared" si="24"/>
        <v/>
      </c>
      <c r="T343" s="1068"/>
      <c r="U343" s="1069"/>
      <c r="V343" s="1267" t="str">
        <f t="shared" si="25"/>
        <v/>
      </c>
      <c r="W343" s="1056"/>
      <c r="X343" s="1056"/>
      <c r="Y343" s="1056"/>
      <c r="Z343" s="1056"/>
      <c r="AA343" s="1056"/>
      <c r="AB343" s="1056"/>
      <c r="AC343" s="1056"/>
      <c r="AD343" s="1056"/>
      <c r="AE343" s="1056"/>
      <c r="AF343" s="1056"/>
      <c r="AG343" s="1056"/>
      <c r="AH343" s="1056"/>
      <c r="AI343" s="1056"/>
      <c r="AJ343" s="1056"/>
      <c r="AK343" s="1056"/>
      <c r="AL343" s="1056"/>
      <c r="AM343" s="1056"/>
      <c r="AN343" s="1056"/>
      <c r="AO343" s="1056"/>
      <c r="AP343" s="1056"/>
      <c r="AQ343" s="1056"/>
      <c r="AR343" s="1056"/>
      <c r="AS343" s="1056"/>
      <c r="AT343" s="1056"/>
      <c r="AU343" s="1056"/>
      <c r="AV343" s="1056"/>
      <c r="AW343" s="1056"/>
    </row>
    <row r="344" spans="1:49" s="33" customFormat="1" x14ac:dyDescent="0.2">
      <c r="A344" s="1056"/>
      <c r="B344" s="1078"/>
      <c r="C344" s="1079"/>
      <c r="D344" s="1078"/>
      <c r="E344" s="1093"/>
      <c r="F344" s="1093"/>
      <c r="G344" s="1066"/>
      <c r="H344" s="1069"/>
      <c r="I344" s="1069"/>
      <c r="J344" s="1128" t="str">
        <f t="shared" si="21"/>
        <v/>
      </c>
      <c r="K344" s="1069"/>
      <c r="L344" s="1069"/>
      <c r="M344" s="1129" t="str">
        <f t="shared" si="22"/>
        <v/>
      </c>
      <c r="N344" s="1069"/>
      <c r="O344" s="1069"/>
      <c r="P344" s="1129" t="str">
        <f t="shared" si="23"/>
        <v/>
      </c>
      <c r="Q344" s="1069"/>
      <c r="R344" s="1069"/>
      <c r="S344" s="1129" t="str">
        <f t="shared" si="24"/>
        <v/>
      </c>
      <c r="T344" s="1068"/>
      <c r="U344" s="1069"/>
      <c r="V344" s="1267" t="str">
        <f t="shared" si="25"/>
        <v/>
      </c>
      <c r="W344" s="1056"/>
      <c r="X344" s="1056"/>
      <c r="Y344" s="1056"/>
      <c r="Z344" s="1056"/>
      <c r="AA344" s="1056"/>
      <c r="AB344" s="1056"/>
      <c r="AC344" s="1056"/>
      <c r="AD344" s="1056"/>
      <c r="AE344" s="1056"/>
      <c r="AF344" s="1056"/>
      <c r="AG344" s="1056"/>
      <c r="AH344" s="1056"/>
      <c r="AI344" s="1056"/>
      <c r="AJ344" s="1056"/>
      <c r="AK344" s="1056"/>
      <c r="AL344" s="1056"/>
      <c r="AM344" s="1056"/>
      <c r="AN344" s="1056"/>
      <c r="AO344" s="1056"/>
      <c r="AP344" s="1056"/>
      <c r="AQ344" s="1056"/>
      <c r="AR344" s="1056"/>
      <c r="AS344" s="1056"/>
      <c r="AT344" s="1056"/>
      <c r="AU344" s="1056"/>
      <c r="AV344" s="1056"/>
      <c r="AW344" s="1056"/>
    </row>
    <row r="345" spans="1:49" s="33" customFormat="1" x14ac:dyDescent="0.2">
      <c r="A345" s="1056"/>
      <c r="B345" s="1078"/>
      <c r="C345" s="1079"/>
      <c r="D345" s="1078"/>
      <c r="E345" s="1093"/>
      <c r="F345" s="1093"/>
      <c r="G345" s="1066"/>
      <c r="H345" s="1069"/>
      <c r="I345" s="1069"/>
      <c r="J345" s="1128" t="str">
        <f t="shared" si="21"/>
        <v/>
      </c>
      <c r="K345" s="1069"/>
      <c r="L345" s="1069"/>
      <c r="M345" s="1129" t="str">
        <f t="shared" si="22"/>
        <v/>
      </c>
      <c r="N345" s="1069"/>
      <c r="O345" s="1069"/>
      <c r="P345" s="1129" t="str">
        <f t="shared" si="23"/>
        <v/>
      </c>
      <c r="Q345" s="1069"/>
      <c r="R345" s="1069"/>
      <c r="S345" s="1129" t="str">
        <f t="shared" si="24"/>
        <v/>
      </c>
      <c r="T345" s="1068"/>
      <c r="U345" s="1069"/>
      <c r="V345" s="1267" t="str">
        <f t="shared" si="25"/>
        <v/>
      </c>
      <c r="W345" s="1056"/>
      <c r="X345" s="1056"/>
      <c r="Y345" s="1056"/>
      <c r="Z345" s="1056"/>
      <c r="AA345" s="1056"/>
      <c r="AB345" s="1056"/>
      <c r="AC345" s="1056"/>
      <c r="AD345" s="1056"/>
      <c r="AE345" s="1056"/>
      <c r="AF345" s="1056"/>
      <c r="AG345" s="1056"/>
      <c r="AH345" s="1056"/>
      <c r="AI345" s="1056"/>
      <c r="AJ345" s="1056"/>
      <c r="AK345" s="1056"/>
      <c r="AL345" s="1056"/>
      <c r="AM345" s="1056"/>
      <c r="AN345" s="1056"/>
      <c r="AO345" s="1056"/>
      <c r="AP345" s="1056"/>
      <c r="AQ345" s="1056"/>
      <c r="AR345" s="1056"/>
      <c r="AS345" s="1056"/>
      <c r="AT345" s="1056"/>
      <c r="AU345" s="1056"/>
      <c r="AV345" s="1056"/>
      <c r="AW345" s="1056"/>
    </row>
    <row r="346" spans="1:49" s="33" customFormat="1" x14ac:dyDescent="0.2">
      <c r="A346" s="1056"/>
      <c r="B346" s="1078"/>
      <c r="C346" s="1079"/>
      <c r="D346" s="1078"/>
      <c r="E346" s="1093"/>
      <c r="F346" s="1093"/>
      <c r="G346" s="1066"/>
      <c r="H346" s="1069"/>
      <c r="I346" s="1069"/>
      <c r="J346" s="1128" t="str">
        <f t="shared" ref="J346:J409" si="26">IF(AND(H346=0,I346=0),"",IF(I346&lt;&gt;0,IF(I346&gt;H346,"100",I346/H346*100),0))</f>
        <v/>
      </c>
      <c r="K346" s="1069"/>
      <c r="L346" s="1069"/>
      <c r="M346" s="1129" t="str">
        <f t="shared" ref="M346:M409" si="27">IF(AND(K346=0,L346=0),"",IF(L346&lt;&gt;0,IF(L346&gt;K346,"100",L346/K346*100),0))</f>
        <v/>
      </c>
      <c r="N346" s="1069"/>
      <c r="O346" s="1069"/>
      <c r="P346" s="1129" t="str">
        <f t="shared" ref="P346:P409" si="28">IF(AND(N346=0,O346=0),"",IF(O346&lt;&gt;0,IF(O346&gt;N346,"100",O346/N346*100),0))</f>
        <v/>
      </c>
      <c r="Q346" s="1069"/>
      <c r="R346" s="1069"/>
      <c r="S346" s="1129" t="str">
        <f t="shared" ref="S346:S409" si="29">IF(AND(Q346=0,R346=0),"",IF(R346&lt;&gt;0,IF(R346&gt;Q346,"100",R346/Q346*100),0))</f>
        <v/>
      </c>
      <c r="T346" s="1068"/>
      <c r="U346" s="1069"/>
      <c r="V346" s="1267" t="str">
        <f t="shared" ref="V346:V409" si="30">IF(AND(T346=0,U346=0),"",IF(U346&lt;&gt;0,IF(U346&gt;T346,"100",U346/T346*100),0))</f>
        <v/>
      </c>
      <c r="W346" s="1056"/>
      <c r="X346" s="1056"/>
      <c r="Y346" s="1056"/>
      <c r="Z346" s="1056"/>
      <c r="AA346" s="1056"/>
      <c r="AB346" s="1056"/>
      <c r="AC346" s="1056"/>
      <c r="AD346" s="1056"/>
      <c r="AE346" s="1056"/>
      <c r="AF346" s="1056"/>
      <c r="AG346" s="1056"/>
      <c r="AH346" s="1056"/>
      <c r="AI346" s="1056"/>
      <c r="AJ346" s="1056"/>
      <c r="AK346" s="1056"/>
      <c r="AL346" s="1056"/>
      <c r="AM346" s="1056"/>
      <c r="AN346" s="1056"/>
      <c r="AO346" s="1056"/>
      <c r="AP346" s="1056"/>
      <c r="AQ346" s="1056"/>
      <c r="AR346" s="1056"/>
      <c r="AS346" s="1056"/>
      <c r="AT346" s="1056"/>
      <c r="AU346" s="1056"/>
      <c r="AV346" s="1056"/>
      <c r="AW346" s="1056"/>
    </row>
    <row r="347" spans="1:49" s="33" customFormat="1" x14ac:dyDescent="0.2">
      <c r="A347" s="1056"/>
      <c r="B347" s="1078"/>
      <c r="C347" s="1079"/>
      <c r="D347" s="1078"/>
      <c r="E347" s="1093"/>
      <c r="F347" s="1093"/>
      <c r="G347" s="1066"/>
      <c r="H347" s="1069"/>
      <c r="I347" s="1069"/>
      <c r="J347" s="1128" t="str">
        <f t="shared" si="26"/>
        <v/>
      </c>
      <c r="K347" s="1069"/>
      <c r="L347" s="1069"/>
      <c r="M347" s="1129" t="str">
        <f t="shared" si="27"/>
        <v/>
      </c>
      <c r="N347" s="1069"/>
      <c r="O347" s="1069"/>
      <c r="P347" s="1129" t="str">
        <f t="shared" si="28"/>
        <v/>
      </c>
      <c r="Q347" s="1069"/>
      <c r="R347" s="1069"/>
      <c r="S347" s="1129" t="str">
        <f t="shared" si="29"/>
        <v/>
      </c>
      <c r="T347" s="1068"/>
      <c r="U347" s="1069"/>
      <c r="V347" s="1267" t="str">
        <f t="shared" si="30"/>
        <v/>
      </c>
      <c r="W347" s="1056"/>
      <c r="X347" s="1056"/>
      <c r="Y347" s="1056"/>
      <c r="Z347" s="1056"/>
      <c r="AA347" s="1056"/>
      <c r="AB347" s="1056"/>
      <c r="AC347" s="1056"/>
      <c r="AD347" s="1056"/>
      <c r="AE347" s="1056"/>
      <c r="AF347" s="1056"/>
      <c r="AG347" s="1056"/>
      <c r="AH347" s="1056"/>
      <c r="AI347" s="1056"/>
      <c r="AJ347" s="1056"/>
      <c r="AK347" s="1056"/>
      <c r="AL347" s="1056"/>
      <c r="AM347" s="1056"/>
      <c r="AN347" s="1056"/>
      <c r="AO347" s="1056"/>
      <c r="AP347" s="1056"/>
      <c r="AQ347" s="1056"/>
      <c r="AR347" s="1056"/>
      <c r="AS347" s="1056"/>
      <c r="AT347" s="1056"/>
      <c r="AU347" s="1056"/>
      <c r="AV347" s="1056"/>
      <c r="AW347" s="1056"/>
    </row>
    <row r="348" spans="1:49" s="33" customFormat="1" x14ac:dyDescent="0.2">
      <c r="A348" s="1056"/>
      <c r="B348" s="1078"/>
      <c r="C348" s="1079"/>
      <c r="D348" s="1078"/>
      <c r="E348" s="1093"/>
      <c r="F348" s="1093"/>
      <c r="G348" s="1066"/>
      <c r="H348" s="1069"/>
      <c r="I348" s="1069"/>
      <c r="J348" s="1128" t="str">
        <f t="shared" si="26"/>
        <v/>
      </c>
      <c r="K348" s="1069"/>
      <c r="L348" s="1069"/>
      <c r="M348" s="1129" t="str">
        <f t="shared" si="27"/>
        <v/>
      </c>
      <c r="N348" s="1069"/>
      <c r="O348" s="1069"/>
      <c r="P348" s="1129" t="str">
        <f t="shared" si="28"/>
        <v/>
      </c>
      <c r="Q348" s="1069"/>
      <c r="R348" s="1069"/>
      <c r="S348" s="1129" t="str">
        <f t="shared" si="29"/>
        <v/>
      </c>
      <c r="T348" s="1068"/>
      <c r="U348" s="1069"/>
      <c r="V348" s="1267" t="str">
        <f t="shared" si="30"/>
        <v/>
      </c>
      <c r="W348" s="1056"/>
      <c r="X348" s="1056"/>
      <c r="Y348" s="1056"/>
      <c r="Z348" s="1056"/>
      <c r="AA348" s="1056"/>
      <c r="AB348" s="1056"/>
      <c r="AC348" s="1056"/>
      <c r="AD348" s="1056"/>
      <c r="AE348" s="1056"/>
      <c r="AF348" s="1056"/>
      <c r="AG348" s="1056"/>
      <c r="AH348" s="1056"/>
      <c r="AI348" s="1056"/>
      <c r="AJ348" s="1056"/>
      <c r="AK348" s="1056"/>
      <c r="AL348" s="1056"/>
      <c r="AM348" s="1056"/>
      <c r="AN348" s="1056"/>
      <c r="AO348" s="1056"/>
      <c r="AP348" s="1056"/>
      <c r="AQ348" s="1056"/>
      <c r="AR348" s="1056"/>
      <c r="AS348" s="1056"/>
      <c r="AT348" s="1056"/>
      <c r="AU348" s="1056"/>
      <c r="AV348" s="1056"/>
      <c r="AW348" s="1056"/>
    </row>
    <row r="349" spans="1:49" s="33" customFormat="1" x14ac:dyDescent="0.2">
      <c r="A349" s="1056"/>
      <c r="B349" s="1078"/>
      <c r="C349" s="1079"/>
      <c r="D349" s="1078"/>
      <c r="E349" s="1093"/>
      <c r="F349" s="1093"/>
      <c r="G349" s="1066"/>
      <c r="H349" s="1069"/>
      <c r="I349" s="1069"/>
      <c r="J349" s="1128" t="str">
        <f t="shared" si="26"/>
        <v/>
      </c>
      <c r="K349" s="1069"/>
      <c r="L349" s="1069"/>
      <c r="M349" s="1129" t="str">
        <f t="shared" si="27"/>
        <v/>
      </c>
      <c r="N349" s="1069"/>
      <c r="O349" s="1069"/>
      <c r="P349" s="1129" t="str">
        <f t="shared" si="28"/>
        <v/>
      </c>
      <c r="Q349" s="1069"/>
      <c r="R349" s="1069"/>
      <c r="S349" s="1129" t="str">
        <f t="shared" si="29"/>
        <v/>
      </c>
      <c r="T349" s="1068"/>
      <c r="U349" s="1069"/>
      <c r="V349" s="1267" t="str">
        <f t="shared" si="30"/>
        <v/>
      </c>
      <c r="W349" s="1056"/>
      <c r="X349" s="1056"/>
      <c r="Y349" s="1056"/>
      <c r="Z349" s="1056"/>
      <c r="AA349" s="1056"/>
      <c r="AB349" s="1056"/>
      <c r="AC349" s="1056"/>
      <c r="AD349" s="1056"/>
      <c r="AE349" s="1056"/>
      <c r="AF349" s="1056"/>
      <c r="AG349" s="1056"/>
      <c r="AH349" s="1056"/>
      <c r="AI349" s="1056"/>
      <c r="AJ349" s="1056"/>
      <c r="AK349" s="1056"/>
      <c r="AL349" s="1056"/>
      <c r="AM349" s="1056"/>
      <c r="AN349" s="1056"/>
      <c r="AO349" s="1056"/>
      <c r="AP349" s="1056"/>
      <c r="AQ349" s="1056"/>
      <c r="AR349" s="1056"/>
      <c r="AS349" s="1056"/>
      <c r="AT349" s="1056"/>
      <c r="AU349" s="1056"/>
      <c r="AV349" s="1056"/>
      <c r="AW349" s="1056"/>
    </row>
    <row r="350" spans="1:49" s="33" customFormat="1" x14ac:dyDescent="0.2">
      <c r="A350" s="1056"/>
      <c r="B350" s="1078"/>
      <c r="C350" s="1079"/>
      <c r="D350" s="1078"/>
      <c r="E350" s="1094"/>
      <c r="F350" s="1095"/>
      <c r="G350" s="1066"/>
      <c r="H350" s="1096"/>
      <c r="I350" s="1096"/>
      <c r="J350" s="1128" t="str">
        <f t="shared" si="26"/>
        <v/>
      </c>
      <c r="K350" s="1096"/>
      <c r="L350" s="1096"/>
      <c r="M350" s="1129" t="str">
        <f t="shared" si="27"/>
        <v/>
      </c>
      <c r="N350" s="1096"/>
      <c r="O350" s="1096"/>
      <c r="P350" s="1129" t="str">
        <f t="shared" si="28"/>
        <v/>
      </c>
      <c r="Q350" s="1096"/>
      <c r="R350" s="1096"/>
      <c r="S350" s="1129" t="str">
        <f t="shared" si="29"/>
        <v/>
      </c>
      <c r="T350" s="1068"/>
      <c r="U350" s="1096"/>
      <c r="V350" s="1267" t="str">
        <f t="shared" si="30"/>
        <v/>
      </c>
      <c r="W350" s="1056"/>
      <c r="X350" s="1056"/>
      <c r="Y350" s="1056"/>
      <c r="Z350" s="1056"/>
      <c r="AA350" s="1056"/>
      <c r="AB350" s="1056"/>
      <c r="AC350" s="1056"/>
      <c r="AD350" s="1056"/>
      <c r="AE350" s="1056"/>
      <c r="AF350" s="1056"/>
      <c r="AG350" s="1056"/>
      <c r="AH350" s="1056"/>
      <c r="AI350" s="1056"/>
      <c r="AJ350" s="1056"/>
      <c r="AK350" s="1056"/>
      <c r="AL350" s="1056"/>
      <c r="AM350" s="1056"/>
      <c r="AN350" s="1056"/>
      <c r="AO350" s="1056"/>
      <c r="AP350" s="1056"/>
      <c r="AQ350" s="1056"/>
      <c r="AR350" s="1056"/>
      <c r="AS350" s="1056"/>
      <c r="AT350" s="1056"/>
      <c r="AU350" s="1056"/>
      <c r="AV350" s="1056"/>
      <c r="AW350" s="1056"/>
    </row>
    <row r="351" spans="1:49" s="33" customFormat="1" x14ac:dyDescent="0.2">
      <c r="A351" s="1056"/>
      <c r="B351" s="1078"/>
      <c r="C351" s="1079"/>
      <c r="D351" s="1078"/>
      <c r="E351" s="1093"/>
      <c r="F351" s="1093"/>
      <c r="G351" s="1066"/>
      <c r="H351" s="1069"/>
      <c r="I351" s="1069"/>
      <c r="J351" s="1128" t="str">
        <f t="shared" si="26"/>
        <v/>
      </c>
      <c r="K351" s="1069"/>
      <c r="L351" s="1069"/>
      <c r="M351" s="1129" t="str">
        <f t="shared" si="27"/>
        <v/>
      </c>
      <c r="N351" s="1069"/>
      <c r="O351" s="1069"/>
      <c r="P351" s="1129" t="str">
        <f t="shared" si="28"/>
        <v/>
      </c>
      <c r="Q351" s="1069"/>
      <c r="R351" s="1069"/>
      <c r="S351" s="1129" t="str">
        <f t="shared" si="29"/>
        <v/>
      </c>
      <c r="T351" s="1068"/>
      <c r="U351" s="1069"/>
      <c r="V351" s="1267" t="str">
        <f t="shared" si="30"/>
        <v/>
      </c>
      <c r="W351" s="1056"/>
      <c r="X351" s="1056"/>
      <c r="Y351" s="1056"/>
      <c r="Z351" s="1056"/>
      <c r="AA351" s="1056"/>
      <c r="AB351" s="1056"/>
      <c r="AC351" s="1056"/>
      <c r="AD351" s="1056"/>
      <c r="AE351" s="1056"/>
      <c r="AF351" s="1056"/>
      <c r="AG351" s="1056"/>
      <c r="AH351" s="1056"/>
      <c r="AI351" s="1056"/>
      <c r="AJ351" s="1056"/>
      <c r="AK351" s="1056"/>
      <c r="AL351" s="1056"/>
      <c r="AM351" s="1056"/>
      <c r="AN351" s="1056"/>
      <c r="AO351" s="1056"/>
      <c r="AP351" s="1056"/>
      <c r="AQ351" s="1056"/>
      <c r="AR351" s="1056"/>
      <c r="AS351" s="1056"/>
      <c r="AT351" s="1056"/>
      <c r="AU351" s="1056"/>
      <c r="AV351" s="1056"/>
      <c r="AW351" s="1056"/>
    </row>
    <row r="352" spans="1:49" s="33" customFormat="1" x14ac:dyDescent="0.2">
      <c r="A352" s="1056"/>
      <c r="B352" s="1078"/>
      <c r="C352" s="1079"/>
      <c r="D352" s="1078"/>
      <c r="E352" s="1093"/>
      <c r="F352" s="1093"/>
      <c r="G352" s="1066"/>
      <c r="H352" s="1069"/>
      <c r="I352" s="1069"/>
      <c r="J352" s="1128" t="str">
        <f t="shared" si="26"/>
        <v/>
      </c>
      <c r="K352" s="1069"/>
      <c r="L352" s="1069"/>
      <c r="M352" s="1129" t="str">
        <f t="shared" si="27"/>
        <v/>
      </c>
      <c r="N352" s="1069"/>
      <c r="O352" s="1069"/>
      <c r="P352" s="1129" t="str">
        <f t="shared" si="28"/>
        <v/>
      </c>
      <c r="Q352" s="1069"/>
      <c r="R352" s="1069"/>
      <c r="S352" s="1129" t="str">
        <f t="shared" si="29"/>
        <v/>
      </c>
      <c r="T352" s="1068"/>
      <c r="U352" s="1069"/>
      <c r="V352" s="1267" t="str">
        <f t="shared" si="30"/>
        <v/>
      </c>
      <c r="W352" s="1056"/>
      <c r="X352" s="1056"/>
      <c r="Y352" s="1056"/>
      <c r="Z352" s="1056"/>
      <c r="AA352" s="1056"/>
      <c r="AB352" s="1056"/>
      <c r="AC352" s="1056"/>
      <c r="AD352" s="1056"/>
      <c r="AE352" s="1056"/>
      <c r="AF352" s="1056"/>
      <c r="AG352" s="1056"/>
      <c r="AH352" s="1056"/>
      <c r="AI352" s="1056"/>
      <c r="AJ352" s="1056"/>
      <c r="AK352" s="1056"/>
      <c r="AL352" s="1056"/>
      <c r="AM352" s="1056"/>
      <c r="AN352" s="1056"/>
      <c r="AO352" s="1056"/>
      <c r="AP352" s="1056"/>
      <c r="AQ352" s="1056"/>
      <c r="AR352" s="1056"/>
      <c r="AS352" s="1056"/>
      <c r="AT352" s="1056"/>
      <c r="AU352" s="1056"/>
      <c r="AV352" s="1056"/>
      <c r="AW352" s="1056"/>
    </row>
    <row r="353" spans="1:49" s="33" customFormat="1" x14ac:dyDescent="0.2">
      <c r="A353" s="1056"/>
      <c r="B353" s="1078"/>
      <c r="C353" s="1079"/>
      <c r="D353" s="1078"/>
      <c r="E353" s="1093"/>
      <c r="F353" s="1093"/>
      <c r="G353" s="1066"/>
      <c r="H353" s="1069"/>
      <c r="I353" s="1069"/>
      <c r="J353" s="1128" t="str">
        <f t="shared" si="26"/>
        <v/>
      </c>
      <c r="K353" s="1069"/>
      <c r="L353" s="1069"/>
      <c r="M353" s="1129" t="str">
        <f t="shared" si="27"/>
        <v/>
      </c>
      <c r="N353" s="1069"/>
      <c r="O353" s="1069"/>
      <c r="P353" s="1129" t="str">
        <f t="shared" si="28"/>
        <v/>
      </c>
      <c r="Q353" s="1069"/>
      <c r="R353" s="1069"/>
      <c r="S353" s="1129" t="str">
        <f t="shared" si="29"/>
        <v/>
      </c>
      <c r="T353" s="1068"/>
      <c r="U353" s="1069"/>
      <c r="V353" s="1267" t="str">
        <f t="shared" si="30"/>
        <v/>
      </c>
      <c r="W353" s="1056"/>
      <c r="X353" s="1056"/>
      <c r="Y353" s="1056"/>
      <c r="Z353" s="1056"/>
      <c r="AA353" s="1056"/>
      <c r="AB353" s="1056"/>
      <c r="AC353" s="1056"/>
      <c r="AD353" s="1056"/>
      <c r="AE353" s="1056"/>
      <c r="AF353" s="1056"/>
      <c r="AG353" s="1056"/>
      <c r="AH353" s="1056"/>
      <c r="AI353" s="1056"/>
      <c r="AJ353" s="1056"/>
      <c r="AK353" s="1056"/>
      <c r="AL353" s="1056"/>
      <c r="AM353" s="1056"/>
      <c r="AN353" s="1056"/>
      <c r="AO353" s="1056"/>
      <c r="AP353" s="1056"/>
      <c r="AQ353" s="1056"/>
      <c r="AR353" s="1056"/>
      <c r="AS353" s="1056"/>
      <c r="AT353" s="1056"/>
      <c r="AU353" s="1056"/>
      <c r="AV353" s="1056"/>
      <c r="AW353" s="1056"/>
    </row>
    <row r="354" spans="1:49" s="33" customFormat="1" x14ac:dyDescent="0.2">
      <c r="A354" s="1056"/>
      <c r="B354" s="1078"/>
      <c r="C354" s="1079"/>
      <c r="D354" s="1078"/>
      <c r="E354" s="1093"/>
      <c r="F354" s="1093"/>
      <c r="G354" s="1066"/>
      <c r="H354" s="1069"/>
      <c r="I354" s="1069"/>
      <c r="J354" s="1128" t="str">
        <f t="shared" si="26"/>
        <v/>
      </c>
      <c r="K354" s="1069"/>
      <c r="L354" s="1069"/>
      <c r="M354" s="1129" t="str">
        <f t="shared" si="27"/>
        <v/>
      </c>
      <c r="N354" s="1069"/>
      <c r="O354" s="1069"/>
      <c r="P354" s="1129" t="str">
        <f t="shared" si="28"/>
        <v/>
      </c>
      <c r="Q354" s="1069"/>
      <c r="R354" s="1069"/>
      <c r="S354" s="1129" t="str">
        <f t="shared" si="29"/>
        <v/>
      </c>
      <c r="T354" s="1068"/>
      <c r="U354" s="1069"/>
      <c r="V354" s="1267" t="str">
        <f t="shared" si="30"/>
        <v/>
      </c>
      <c r="W354" s="1056"/>
      <c r="X354" s="1056"/>
      <c r="Y354" s="1056"/>
      <c r="Z354" s="1056"/>
      <c r="AA354" s="1056"/>
      <c r="AB354" s="1056"/>
      <c r="AC354" s="1056"/>
      <c r="AD354" s="1056"/>
      <c r="AE354" s="1056"/>
      <c r="AF354" s="1056"/>
      <c r="AG354" s="1056"/>
      <c r="AH354" s="1056"/>
      <c r="AI354" s="1056"/>
      <c r="AJ354" s="1056"/>
      <c r="AK354" s="1056"/>
      <c r="AL354" s="1056"/>
      <c r="AM354" s="1056"/>
      <c r="AN354" s="1056"/>
      <c r="AO354" s="1056"/>
      <c r="AP354" s="1056"/>
      <c r="AQ354" s="1056"/>
      <c r="AR354" s="1056"/>
      <c r="AS354" s="1056"/>
      <c r="AT354" s="1056"/>
      <c r="AU354" s="1056"/>
      <c r="AV354" s="1056"/>
      <c r="AW354" s="1056"/>
    </row>
    <row r="355" spans="1:49" s="33" customFormat="1" x14ac:dyDescent="0.2">
      <c r="A355" s="1056"/>
      <c r="B355" s="1078"/>
      <c r="C355" s="1079"/>
      <c r="D355" s="1078"/>
      <c r="E355" s="1093"/>
      <c r="F355" s="1093"/>
      <c r="G355" s="1066"/>
      <c r="H355" s="1069"/>
      <c r="I355" s="1069"/>
      <c r="J355" s="1128" t="str">
        <f t="shared" si="26"/>
        <v/>
      </c>
      <c r="K355" s="1069"/>
      <c r="L355" s="1069"/>
      <c r="M355" s="1129" t="str">
        <f t="shared" si="27"/>
        <v/>
      </c>
      <c r="N355" s="1069"/>
      <c r="O355" s="1069"/>
      <c r="P355" s="1129" t="str">
        <f t="shared" si="28"/>
        <v/>
      </c>
      <c r="Q355" s="1069"/>
      <c r="R355" s="1069"/>
      <c r="S355" s="1129" t="str">
        <f t="shared" si="29"/>
        <v/>
      </c>
      <c r="T355" s="1068"/>
      <c r="U355" s="1069"/>
      <c r="V355" s="1267" t="str">
        <f t="shared" si="30"/>
        <v/>
      </c>
      <c r="W355" s="1056"/>
      <c r="X355" s="1056"/>
      <c r="Y355" s="1056"/>
      <c r="Z355" s="1056"/>
      <c r="AA355" s="1056"/>
      <c r="AB355" s="1056"/>
      <c r="AC355" s="1056"/>
      <c r="AD355" s="1056"/>
      <c r="AE355" s="1056"/>
      <c r="AF355" s="1056"/>
      <c r="AG355" s="1056"/>
      <c r="AH355" s="1056"/>
      <c r="AI355" s="1056"/>
      <c r="AJ355" s="1056"/>
      <c r="AK355" s="1056"/>
      <c r="AL355" s="1056"/>
      <c r="AM355" s="1056"/>
      <c r="AN355" s="1056"/>
      <c r="AO355" s="1056"/>
      <c r="AP355" s="1056"/>
      <c r="AQ355" s="1056"/>
      <c r="AR355" s="1056"/>
      <c r="AS355" s="1056"/>
      <c r="AT355" s="1056"/>
      <c r="AU355" s="1056"/>
      <c r="AV355" s="1056"/>
      <c r="AW355" s="1056"/>
    </row>
    <row r="356" spans="1:49" s="33" customFormat="1" x14ac:dyDescent="0.2">
      <c r="A356" s="1056"/>
      <c r="B356" s="1078"/>
      <c r="C356" s="1079"/>
      <c r="D356" s="1078"/>
      <c r="E356" s="1093"/>
      <c r="F356" s="1093"/>
      <c r="G356" s="1066"/>
      <c r="H356" s="1069"/>
      <c r="I356" s="1069"/>
      <c r="J356" s="1128" t="str">
        <f t="shared" si="26"/>
        <v/>
      </c>
      <c r="K356" s="1069"/>
      <c r="L356" s="1069"/>
      <c r="M356" s="1129" t="str">
        <f t="shared" si="27"/>
        <v/>
      </c>
      <c r="N356" s="1069"/>
      <c r="O356" s="1069"/>
      <c r="P356" s="1129" t="str">
        <f t="shared" si="28"/>
        <v/>
      </c>
      <c r="Q356" s="1069"/>
      <c r="R356" s="1069"/>
      <c r="S356" s="1129" t="str">
        <f t="shared" si="29"/>
        <v/>
      </c>
      <c r="T356" s="1068"/>
      <c r="U356" s="1069"/>
      <c r="V356" s="1267" t="str">
        <f t="shared" si="30"/>
        <v/>
      </c>
      <c r="W356" s="1056"/>
      <c r="X356" s="1056"/>
      <c r="Y356" s="1056"/>
      <c r="Z356" s="1056"/>
      <c r="AA356" s="1056"/>
      <c r="AB356" s="1056"/>
      <c r="AC356" s="1056"/>
      <c r="AD356" s="1056"/>
      <c r="AE356" s="1056"/>
      <c r="AF356" s="1056"/>
      <c r="AG356" s="1056"/>
      <c r="AH356" s="1056"/>
      <c r="AI356" s="1056"/>
      <c r="AJ356" s="1056"/>
      <c r="AK356" s="1056"/>
      <c r="AL356" s="1056"/>
      <c r="AM356" s="1056"/>
      <c r="AN356" s="1056"/>
      <c r="AO356" s="1056"/>
      <c r="AP356" s="1056"/>
      <c r="AQ356" s="1056"/>
      <c r="AR356" s="1056"/>
      <c r="AS356" s="1056"/>
      <c r="AT356" s="1056"/>
      <c r="AU356" s="1056"/>
      <c r="AV356" s="1056"/>
      <c r="AW356" s="1056"/>
    </row>
    <row r="357" spans="1:49" s="33" customFormat="1" x14ac:dyDescent="0.2">
      <c r="A357" s="1056"/>
      <c r="B357" s="1078"/>
      <c r="C357" s="1079"/>
      <c r="D357" s="1078"/>
      <c r="E357" s="1093"/>
      <c r="F357" s="1093"/>
      <c r="G357" s="1066"/>
      <c r="H357" s="1069"/>
      <c r="I357" s="1069"/>
      <c r="J357" s="1128" t="str">
        <f t="shared" si="26"/>
        <v/>
      </c>
      <c r="K357" s="1069"/>
      <c r="L357" s="1069"/>
      <c r="M357" s="1129" t="str">
        <f t="shared" si="27"/>
        <v/>
      </c>
      <c r="N357" s="1069"/>
      <c r="O357" s="1069"/>
      <c r="P357" s="1129" t="str">
        <f t="shared" si="28"/>
        <v/>
      </c>
      <c r="Q357" s="1069"/>
      <c r="R357" s="1069"/>
      <c r="S357" s="1129" t="str">
        <f t="shared" si="29"/>
        <v/>
      </c>
      <c r="T357" s="1068"/>
      <c r="U357" s="1069"/>
      <c r="V357" s="1267" t="str">
        <f t="shared" si="30"/>
        <v/>
      </c>
      <c r="W357" s="1056"/>
      <c r="X357" s="1056"/>
      <c r="Y357" s="1056"/>
      <c r="Z357" s="1056"/>
      <c r="AA357" s="1056"/>
      <c r="AB357" s="1056"/>
      <c r="AC357" s="1056"/>
      <c r="AD357" s="1056"/>
      <c r="AE357" s="1056"/>
      <c r="AF357" s="1056"/>
      <c r="AG357" s="1056"/>
      <c r="AH357" s="1056"/>
      <c r="AI357" s="1056"/>
      <c r="AJ357" s="1056"/>
      <c r="AK357" s="1056"/>
      <c r="AL357" s="1056"/>
      <c r="AM357" s="1056"/>
      <c r="AN357" s="1056"/>
      <c r="AO357" s="1056"/>
      <c r="AP357" s="1056"/>
      <c r="AQ357" s="1056"/>
      <c r="AR357" s="1056"/>
      <c r="AS357" s="1056"/>
      <c r="AT357" s="1056"/>
      <c r="AU357" s="1056"/>
      <c r="AV357" s="1056"/>
      <c r="AW357" s="1056"/>
    </row>
    <row r="358" spans="1:49" s="33" customFormat="1" x14ac:dyDescent="0.2">
      <c r="A358" s="1056"/>
      <c r="B358" s="1078"/>
      <c r="C358" s="1079"/>
      <c r="D358" s="1078"/>
      <c r="E358" s="1093"/>
      <c r="F358" s="1093"/>
      <c r="G358" s="1066"/>
      <c r="H358" s="1069"/>
      <c r="I358" s="1069"/>
      <c r="J358" s="1128" t="str">
        <f t="shared" si="26"/>
        <v/>
      </c>
      <c r="K358" s="1069"/>
      <c r="L358" s="1069"/>
      <c r="M358" s="1129" t="str">
        <f t="shared" si="27"/>
        <v/>
      </c>
      <c r="N358" s="1069"/>
      <c r="O358" s="1069"/>
      <c r="P358" s="1129" t="str">
        <f t="shared" si="28"/>
        <v/>
      </c>
      <c r="Q358" s="1069"/>
      <c r="R358" s="1069"/>
      <c r="S358" s="1129" t="str">
        <f t="shared" si="29"/>
        <v/>
      </c>
      <c r="T358" s="1068"/>
      <c r="U358" s="1069"/>
      <c r="V358" s="1267" t="str">
        <f t="shared" si="30"/>
        <v/>
      </c>
      <c r="W358" s="1056"/>
      <c r="X358" s="1056"/>
      <c r="Y358" s="1056"/>
      <c r="Z358" s="1056"/>
      <c r="AA358" s="1056"/>
      <c r="AB358" s="1056"/>
      <c r="AC358" s="1056"/>
      <c r="AD358" s="1056"/>
      <c r="AE358" s="1056"/>
      <c r="AF358" s="1056"/>
      <c r="AG358" s="1056"/>
      <c r="AH358" s="1056"/>
      <c r="AI358" s="1056"/>
      <c r="AJ358" s="1056"/>
      <c r="AK358" s="1056"/>
      <c r="AL358" s="1056"/>
      <c r="AM358" s="1056"/>
      <c r="AN358" s="1056"/>
      <c r="AO358" s="1056"/>
      <c r="AP358" s="1056"/>
      <c r="AQ358" s="1056"/>
      <c r="AR358" s="1056"/>
      <c r="AS358" s="1056"/>
      <c r="AT358" s="1056"/>
      <c r="AU358" s="1056"/>
      <c r="AV358" s="1056"/>
      <c r="AW358" s="1056"/>
    </row>
    <row r="359" spans="1:49" s="33" customFormat="1" x14ac:dyDescent="0.2">
      <c r="A359" s="1056"/>
      <c r="B359" s="1078"/>
      <c r="C359" s="1079"/>
      <c r="D359" s="1078"/>
      <c r="E359" s="1093"/>
      <c r="F359" s="1093"/>
      <c r="G359" s="1066"/>
      <c r="H359" s="1069"/>
      <c r="I359" s="1069"/>
      <c r="J359" s="1128" t="str">
        <f t="shared" si="26"/>
        <v/>
      </c>
      <c r="K359" s="1069"/>
      <c r="L359" s="1069"/>
      <c r="M359" s="1129" t="str">
        <f t="shared" si="27"/>
        <v/>
      </c>
      <c r="N359" s="1069"/>
      <c r="O359" s="1069"/>
      <c r="P359" s="1129" t="str">
        <f t="shared" si="28"/>
        <v/>
      </c>
      <c r="Q359" s="1069"/>
      <c r="R359" s="1069"/>
      <c r="S359" s="1129" t="str">
        <f t="shared" si="29"/>
        <v/>
      </c>
      <c r="T359" s="1068"/>
      <c r="U359" s="1069"/>
      <c r="V359" s="1267" t="str">
        <f t="shared" si="30"/>
        <v/>
      </c>
      <c r="W359" s="1056"/>
      <c r="X359" s="1056"/>
      <c r="Y359" s="1056"/>
      <c r="Z359" s="1056"/>
      <c r="AA359" s="1056"/>
      <c r="AB359" s="1056"/>
      <c r="AC359" s="1056"/>
      <c r="AD359" s="1056"/>
      <c r="AE359" s="1056"/>
      <c r="AF359" s="1056"/>
      <c r="AG359" s="1056"/>
      <c r="AH359" s="1056"/>
      <c r="AI359" s="1056"/>
      <c r="AJ359" s="1056"/>
      <c r="AK359" s="1056"/>
      <c r="AL359" s="1056"/>
      <c r="AM359" s="1056"/>
      <c r="AN359" s="1056"/>
      <c r="AO359" s="1056"/>
      <c r="AP359" s="1056"/>
      <c r="AQ359" s="1056"/>
      <c r="AR359" s="1056"/>
      <c r="AS359" s="1056"/>
      <c r="AT359" s="1056"/>
      <c r="AU359" s="1056"/>
      <c r="AV359" s="1056"/>
      <c r="AW359" s="1056"/>
    </row>
    <row r="360" spans="1:49" s="33" customFormat="1" x14ac:dyDescent="0.2">
      <c r="A360" s="1056"/>
      <c r="B360" s="1078"/>
      <c r="C360" s="1079"/>
      <c r="D360" s="1078"/>
      <c r="E360" s="1093"/>
      <c r="F360" s="1093"/>
      <c r="G360" s="1066"/>
      <c r="H360" s="1069"/>
      <c r="I360" s="1069"/>
      <c r="J360" s="1128" t="str">
        <f t="shared" si="26"/>
        <v/>
      </c>
      <c r="K360" s="1069"/>
      <c r="L360" s="1069"/>
      <c r="M360" s="1129" t="str">
        <f t="shared" si="27"/>
        <v/>
      </c>
      <c r="N360" s="1069"/>
      <c r="O360" s="1069"/>
      <c r="P360" s="1129" t="str">
        <f t="shared" si="28"/>
        <v/>
      </c>
      <c r="Q360" s="1069"/>
      <c r="R360" s="1069"/>
      <c r="S360" s="1129" t="str">
        <f t="shared" si="29"/>
        <v/>
      </c>
      <c r="T360" s="1068"/>
      <c r="U360" s="1069"/>
      <c r="V360" s="1267" t="str">
        <f t="shared" si="30"/>
        <v/>
      </c>
      <c r="W360" s="1056"/>
      <c r="X360" s="1056"/>
      <c r="Y360" s="1056"/>
      <c r="Z360" s="1056"/>
      <c r="AA360" s="1056"/>
      <c r="AB360" s="1056"/>
      <c r="AC360" s="1056"/>
      <c r="AD360" s="1056"/>
      <c r="AE360" s="1056"/>
      <c r="AF360" s="1056"/>
      <c r="AG360" s="1056"/>
      <c r="AH360" s="1056"/>
      <c r="AI360" s="1056"/>
      <c r="AJ360" s="1056"/>
      <c r="AK360" s="1056"/>
      <c r="AL360" s="1056"/>
      <c r="AM360" s="1056"/>
      <c r="AN360" s="1056"/>
      <c r="AO360" s="1056"/>
      <c r="AP360" s="1056"/>
      <c r="AQ360" s="1056"/>
      <c r="AR360" s="1056"/>
      <c r="AS360" s="1056"/>
      <c r="AT360" s="1056"/>
      <c r="AU360" s="1056"/>
      <c r="AV360" s="1056"/>
      <c r="AW360" s="1056"/>
    </row>
    <row r="361" spans="1:49" s="33" customFormat="1" x14ac:dyDescent="0.2">
      <c r="A361" s="1056"/>
      <c r="B361" s="1078"/>
      <c r="C361" s="1079"/>
      <c r="D361" s="1078"/>
      <c r="E361" s="1083"/>
      <c r="F361" s="1083"/>
      <c r="G361" s="1066"/>
      <c r="H361" s="1069"/>
      <c r="I361" s="1069"/>
      <c r="J361" s="1128" t="str">
        <f t="shared" si="26"/>
        <v/>
      </c>
      <c r="K361" s="1069"/>
      <c r="L361" s="1069"/>
      <c r="M361" s="1129" t="str">
        <f t="shared" si="27"/>
        <v/>
      </c>
      <c r="N361" s="1069"/>
      <c r="O361" s="1069"/>
      <c r="P361" s="1129" t="str">
        <f t="shared" si="28"/>
        <v/>
      </c>
      <c r="Q361" s="1069"/>
      <c r="R361" s="1069"/>
      <c r="S361" s="1129" t="str">
        <f t="shared" si="29"/>
        <v/>
      </c>
      <c r="T361" s="1068"/>
      <c r="U361" s="1069"/>
      <c r="V361" s="1267" t="str">
        <f t="shared" si="30"/>
        <v/>
      </c>
      <c r="W361" s="1056"/>
      <c r="X361" s="1056"/>
      <c r="Y361" s="1056"/>
      <c r="Z361" s="1056"/>
      <c r="AA361" s="1056"/>
      <c r="AB361" s="1056"/>
      <c r="AC361" s="1056"/>
      <c r="AD361" s="1056"/>
      <c r="AE361" s="1056"/>
      <c r="AF361" s="1056"/>
      <c r="AG361" s="1056"/>
      <c r="AH361" s="1056"/>
      <c r="AI361" s="1056"/>
      <c r="AJ361" s="1056"/>
      <c r="AK361" s="1056"/>
      <c r="AL361" s="1056"/>
      <c r="AM361" s="1056"/>
      <c r="AN361" s="1056"/>
      <c r="AO361" s="1056"/>
      <c r="AP361" s="1056"/>
      <c r="AQ361" s="1056"/>
      <c r="AR361" s="1056"/>
      <c r="AS361" s="1056"/>
      <c r="AT361" s="1056"/>
      <c r="AU361" s="1056"/>
      <c r="AV361" s="1056"/>
      <c r="AW361" s="1056"/>
    </row>
    <row r="362" spans="1:49" s="33" customFormat="1" x14ac:dyDescent="0.2">
      <c r="A362" s="1056"/>
      <c r="B362" s="1078"/>
      <c r="C362" s="1079"/>
      <c r="D362" s="1078"/>
      <c r="E362" s="1083"/>
      <c r="F362" s="1083"/>
      <c r="G362" s="1066"/>
      <c r="H362" s="1069"/>
      <c r="I362" s="1069"/>
      <c r="J362" s="1128" t="str">
        <f t="shared" si="26"/>
        <v/>
      </c>
      <c r="K362" s="1069"/>
      <c r="L362" s="1069"/>
      <c r="M362" s="1129" t="str">
        <f t="shared" si="27"/>
        <v/>
      </c>
      <c r="N362" s="1069"/>
      <c r="O362" s="1069"/>
      <c r="P362" s="1129" t="str">
        <f t="shared" si="28"/>
        <v/>
      </c>
      <c r="Q362" s="1069"/>
      <c r="R362" s="1069"/>
      <c r="S362" s="1129" t="str">
        <f t="shared" si="29"/>
        <v/>
      </c>
      <c r="T362" s="1068"/>
      <c r="U362" s="1069"/>
      <c r="V362" s="1267" t="str">
        <f t="shared" si="30"/>
        <v/>
      </c>
      <c r="W362" s="1056"/>
      <c r="X362" s="1056"/>
      <c r="Y362" s="1056"/>
      <c r="Z362" s="1056"/>
      <c r="AA362" s="1056"/>
      <c r="AB362" s="1056"/>
      <c r="AC362" s="1056"/>
      <c r="AD362" s="1056"/>
      <c r="AE362" s="1056"/>
      <c r="AF362" s="1056"/>
      <c r="AG362" s="1056"/>
      <c r="AH362" s="1056"/>
      <c r="AI362" s="1056"/>
      <c r="AJ362" s="1056"/>
      <c r="AK362" s="1056"/>
      <c r="AL362" s="1056"/>
      <c r="AM362" s="1056"/>
      <c r="AN362" s="1056"/>
      <c r="AO362" s="1056"/>
      <c r="AP362" s="1056"/>
      <c r="AQ362" s="1056"/>
      <c r="AR362" s="1056"/>
      <c r="AS362" s="1056"/>
      <c r="AT362" s="1056"/>
      <c r="AU362" s="1056"/>
      <c r="AV362" s="1056"/>
      <c r="AW362" s="1056"/>
    </row>
    <row r="363" spans="1:49" s="33" customFormat="1" x14ac:dyDescent="0.2">
      <c r="A363" s="1056"/>
      <c r="B363" s="1078"/>
      <c r="C363" s="1079"/>
      <c r="D363" s="1078"/>
      <c r="E363" s="1083"/>
      <c r="F363" s="1083"/>
      <c r="G363" s="1066"/>
      <c r="H363" s="1069"/>
      <c r="I363" s="1069"/>
      <c r="J363" s="1128" t="str">
        <f t="shared" si="26"/>
        <v/>
      </c>
      <c r="K363" s="1069"/>
      <c r="L363" s="1069"/>
      <c r="M363" s="1129" t="str">
        <f t="shared" si="27"/>
        <v/>
      </c>
      <c r="N363" s="1069"/>
      <c r="O363" s="1069"/>
      <c r="P363" s="1129" t="str">
        <f t="shared" si="28"/>
        <v/>
      </c>
      <c r="Q363" s="1069"/>
      <c r="R363" s="1069"/>
      <c r="S363" s="1129" t="str">
        <f t="shared" si="29"/>
        <v/>
      </c>
      <c r="T363" s="1068"/>
      <c r="U363" s="1069"/>
      <c r="V363" s="1267" t="str">
        <f t="shared" si="30"/>
        <v/>
      </c>
      <c r="W363" s="1056"/>
      <c r="X363" s="1056"/>
      <c r="Y363" s="1056"/>
      <c r="Z363" s="1056"/>
      <c r="AA363" s="1056"/>
      <c r="AB363" s="1056"/>
      <c r="AC363" s="1056"/>
      <c r="AD363" s="1056"/>
      <c r="AE363" s="1056"/>
      <c r="AF363" s="1056"/>
      <c r="AG363" s="1056"/>
      <c r="AH363" s="1056"/>
      <c r="AI363" s="1056"/>
      <c r="AJ363" s="1056"/>
      <c r="AK363" s="1056"/>
      <c r="AL363" s="1056"/>
      <c r="AM363" s="1056"/>
      <c r="AN363" s="1056"/>
      <c r="AO363" s="1056"/>
      <c r="AP363" s="1056"/>
      <c r="AQ363" s="1056"/>
      <c r="AR363" s="1056"/>
      <c r="AS363" s="1056"/>
      <c r="AT363" s="1056"/>
      <c r="AU363" s="1056"/>
      <c r="AV363" s="1056"/>
      <c r="AW363" s="1056"/>
    </row>
    <row r="364" spans="1:49" s="33" customFormat="1" x14ac:dyDescent="0.2">
      <c r="A364" s="1056"/>
      <c r="B364" s="1078"/>
      <c r="C364" s="1079"/>
      <c r="D364" s="1078"/>
      <c r="E364" s="1083"/>
      <c r="F364" s="1083"/>
      <c r="G364" s="1066"/>
      <c r="H364" s="1069"/>
      <c r="I364" s="1069"/>
      <c r="J364" s="1128" t="str">
        <f t="shared" si="26"/>
        <v/>
      </c>
      <c r="K364" s="1069"/>
      <c r="L364" s="1069"/>
      <c r="M364" s="1129" t="str">
        <f t="shared" si="27"/>
        <v/>
      </c>
      <c r="N364" s="1069"/>
      <c r="O364" s="1069"/>
      <c r="P364" s="1129" t="str">
        <f t="shared" si="28"/>
        <v/>
      </c>
      <c r="Q364" s="1069"/>
      <c r="R364" s="1069"/>
      <c r="S364" s="1129" t="str">
        <f t="shared" si="29"/>
        <v/>
      </c>
      <c r="T364" s="1068"/>
      <c r="U364" s="1069"/>
      <c r="V364" s="1267" t="str">
        <f t="shared" si="30"/>
        <v/>
      </c>
      <c r="W364" s="1056"/>
      <c r="X364" s="1056"/>
      <c r="Y364" s="1056"/>
      <c r="Z364" s="1056"/>
      <c r="AA364" s="1056"/>
      <c r="AB364" s="1056"/>
      <c r="AC364" s="1056"/>
      <c r="AD364" s="1056"/>
      <c r="AE364" s="1056"/>
      <c r="AF364" s="1056"/>
      <c r="AG364" s="1056"/>
      <c r="AH364" s="1056"/>
      <c r="AI364" s="1056"/>
      <c r="AJ364" s="1056"/>
      <c r="AK364" s="1056"/>
      <c r="AL364" s="1056"/>
      <c r="AM364" s="1056"/>
      <c r="AN364" s="1056"/>
      <c r="AO364" s="1056"/>
      <c r="AP364" s="1056"/>
      <c r="AQ364" s="1056"/>
      <c r="AR364" s="1056"/>
      <c r="AS364" s="1056"/>
      <c r="AT364" s="1056"/>
      <c r="AU364" s="1056"/>
      <c r="AV364" s="1056"/>
      <c r="AW364" s="1056"/>
    </row>
    <row r="365" spans="1:49" s="33" customFormat="1" x14ac:dyDescent="0.2">
      <c r="A365" s="1056"/>
      <c r="B365" s="1078"/>
      <c r="C365" s="1079"/>
      <c r="D365" s="1078"/>
      <c r="E365" s="1083"/>
      <c r="F365" s="1083"/>
      <c r="G365" s="1066"/>
      <c r="H365" s="1069"/>
      <c r="I365" s="1069"/>
      <c r="J365" s="1128" t="str">
        <f t="shared" si="26"/>
        <v/>
      </c>
      <c r="K365" s="1069"/>
      <c r="L365" s="1069"/>
      <c r="M365" s="1129" t="str">
        <f t="shared" si="27"/>
        <v/>
      </c>
      <c r="N365" s="1069"/>
      <c r="O365" s="1069"/>
      <c r="P365" s="1129" t="str">
        <f t="shared" si="28"/>
        <v/>
      </c>
      <c r="Q365" s="1069"/>
      <c r="R365" s="1069"/>
      <c r="S365" s="1129" t="str">
        <f t="shared" si="29"/>
        <v/>
      </c>
      <c r="T365" s="1068"/>
      <c r="U365" s="1069"/>
      <c r="V365" s="1267" t="str">
        <f t="shared" si="30"/>
        <v/>
      </c>
      <c r="W365" s="1056"/>
      <c r="X365" s="1056"/>
      <c r="Y365" s="1056"/>
      <c r="Z365" s="1056"/>
      <c r="AA365" s="1056"/>
      <c r="AB365" s="1056"/>
      <c r="AC365" s="1056"/>
      <c r="AD365" s="1056"/>
      <c r="AE365" s="1056"/>
      <c r="AF365" s="1056"/>
      <c r="AG365" s="1056"/>
      <c r="AH365" s="1056"/>
      <c r="AI365" s="1056"/>
      <c r="AJ365" s="1056"/>
      <c r="AK365" s="1056"/>
      <c r="AL365" s="1056"/>
      <c r="AM365" s="1056"/>
      <c r="AN365" s="1056"/>
      <c r="AO365" s="1056"/>
      <c r="AP365" s="1056"/>
      <c r="AQ365" s="1056"/>
      <c r="AR365" s="1056"/>
      <c r="AS365" s="1056"/>
      <c r="AT365" s="1056"/>
      <c r="AU365" s="1056"/>
      <c r="AV365" s="1056"/>
      <c r="AW365" s="1056"/>
    </row>
    <row r="366" spans="1:49" s="1062" customFormat="1" x14ac:dyDescent="0.2">
      <c r="A366" s="1056"/>
      <c r="B366" s="1078"/>
      <c r="C366" s="1079"/>
      <c r="D366" s="1078"/>
      <c r="E366" s="1083"/>
      <c r="F366" s="1083"/>
      <c r="G366" s="1066"/>
      <c r="H366" s="1069"/>
      <c r="I366" s="1069"/>
      <c r="J366" s="1128" t="str">
        <f t="shared" si="26"/>
        <v/>
      </c>
      <c r="K366" s="1069"/>
      <c r="L366" s="1069"/>
      <c r="M366" s="1129" t="str">
        <f t="shared" si="27"/>
        <v/>
      </c>
      <c r="N366" s="1069"/>
      <c r="O366" s="1069"/>
      <c r="P366" s="1129" t="str">
        <f t="shared" si="28"/>
        <v/>
      </c>
      <c r="Q366" s="1069"/>
      <c r="R366" s="1069"/>
      <c r="S366" s="1129" t="str">
        <f t="shared" si="29"/>
        <v/>
      </c>
      <c r="T366" s="1068"/>
      <c r="U366" s="1069"/>
      <c r="V366" s="1267" t="str">
        <f t="shared" si="30"/>
        <v/>
      </c>
      <c r="W366" s="1056"/>
      <c r="X366" s="1056"/>
      <c r="Y366" s="1056"/>
      <c r="Z366" s="1056"/>
      <c r="AA366" s="1056"/>
      <c r="AB366" s="1056"/>
      <c r="AC366" s="1056"/>
      <c r="AD366" s="1056"/>
      <c r="AE366" s="1056"/>
      <c r="AF366" s="1056"/>
      <c r="AG366" s="1056"/>
      <c r="AH366" s="1056"/>
      <c r="AI366" s="1056"/>
      <c r="AJ366" s="1056"/>
      <c r="AK366" s="1056"/>
      <c r="AL366" s="1056"/>
      <c r="AM366" s="1056"/>
      <c r="AN366" s="1056"/>
      <c r="AO366" s="1056"/>
      <c r="AP366" s="1056"/>
      <c r="AQ366" s="1056"/>
      <c r="AR366" s="1056"/>
      <c r="AS366" s="1056"/>
      <c r="AT366" s="1056"/>
      <c r="AU366" s="1056"/>
      <c r="AV366" s="1056"/>
      <c r="AW366" s="1056"/>
    </row>
    <row r="367" spans="1:49" s="1062" customFormat="1" x14ac:dyDescent="0.2">
      <c r="A367" s="1056"/>
      <c r="B367" s="1078"/>
      <c r="C367" s="1079"/>
      <c r="D367" s="1078"/>
      <c r="E367" s="1083"/>
      <c r="F367" s="1083"/>
      <c r="G367" s="1066"/>
      <c r="H367" s="1069"/>
      <c r="I367" s="1069"/>
      <c r="J367" s="1128" t="str">
        <f t="shared" si="26"/>
        <v/>
      </c>
      <c r="K367" s="1069"/>
      <c r="L367" s="1069"/>
      <c r="M367" s="1129" t="str">
        <f t="shared" si="27"/>
        <v/>
      </c>
      <c r="N367" s="1069"/>
      <c r="O367" s="1069"/>
      <c r="P367" s="1129" t="str">
        <f t="shared" si="28"/>
        <v/>
      </c>
      <c r="Q367" s="1069"/>
      <c r="R367" s="1069"/>
      <c r="S367" s="1129" t="str">
        <f t="shared" si="29"/>
        <v/>
      </c>
      <c r="T367" s="1068"/>
      <c r="U367" s="1069"/>
      <c r="V367" s="1267" t="str">
        <f t="shared" si="30"/>
        <v/>
      </c>
      <c r="W367" s="1056"/>
      <c r="X367" s="1056"/>
      <c r="Y367" s="1056"/>
      <c r="Z367" s="1056"/>
      <c r="AA367" s="1056"/>
      <c r="AB367" s="1056"/>
      <c r="AC367" s="1056"/>
      <c r="AD367" s="1056"/>
      <c r="AE367" s="1056"/>
      <c r="AF367" s="1056"/>
      <c r="AG367" s="1056"/>
      <c r="AH367" s="1056"/>
      <c r="AI367" s="1056"/>
      <c r="AJ367" s="1056"/>
      <c r="AK367" s="1056"/>
      <c r="AL367" s="1056"/>
      <c r="AM367" s="1056"/>
      <c r="AN367" s="1056"/>
      <c r="AO367" s="1056"/>
      <c r="AP367" s="1056"/>
      <c r="AQ367" s="1056"/>
      <c r="AR367" s="1056"/>
      <c r="AS367" s="1056"/>
      <c r="AT367" s="1056"/>
      <c r="AU367" s="1056"/>
      <c r="AV367" s="1056"/>
      <c r="AW367" s="1056"/>
    </row>
    <row r="368" spans="1:49" s="1062" customFormat="1" x14ac:dyDescent="0.2">
      <c r="A368" s="1056"/>
      <c r="B368" s="1078"/>
      <c r="C368" s="1079"/>
      <c r="D368" s="1078"/>
      <c r="E368" s="1083"/>
      <c r="F368" s="1083"/>
      <c r="G368" s="1066"/>
      <c r="H368" s="1069"/>
      <c r="I368" s="1069"/>
      <c r="J368" s="1128" t="str">
        <f t="shared" si="26"/>
        <v/>
      </c>
      <c r="K368" s="1069"/>
      <c r="L368" s="1069"/>
      <c r="M368" s="1129" t="str">
        <f t="shared" si="27"/>
        <v/>
      </c>
      <c r="N368" s="1069"/>
      <c r="O368" s="1069"/>
      <c r="P368" s="1129" t="str">
        <f t="shared" si="28"/>
        <v/>
      </c>
      <c r="Q368" s="1069"/>
      <c r="R368" s="1069"/>
      <c r="S368" s="1129" t="str">
        <f t="shared" si="29"/>
        <v/>
      </c>
      <c r="T368" s="1068"/>
      <c r="U368" s="1069"/>
      <c r="V368" s="1267" t="str">
        <f t="shared" si="30"/>
        <v/>
      </c>
      <c r="W368" s="1056"/>
      <c r="X368" s="1056"/>
      <c r="Y368" s="1056"/>
      <c r="Z368" s="1056"/>
      <c r="AA368" s="1056"/>
      <c r="AB368" s="1056"/>
      <c r="AC368" s="1056"/>
      <c r="AD368" s="1056"/>
      <c r="AE368" s="1056"/>
      <c r="AF368" s="1056"/>
      <c r="AG368" s="1056"/>
      <c r="AH368" s="1056"/>
      <c r="AI368" s="1056"/>
      <c r="AJ368" s="1056"/>
      <c r="AK368" s="1056"/>
      <c r="AL368" s="1056"/>
      <c r="AM368" s="1056"/>
      <c r="AN368" s="1056"/>
      <c r="AO368" s="1056"/>
      <c r="AP368" s="1056"/>
      <c r="AQ368" s="1056"/>
      <c r="AR368" s="1056"/>
      <c r="AS368" s="1056"/>
      <c r="AT368" s="1056"/>
      <c r="AU368" s="1056"/>
      <c r="AV368" s="1056"/>
      <c r="AW368" s="1056"/>
    </row>
    <row r="369" spans="1:49" s="1062" customFormat="1" x14ac:dyDescent="0.2">
      <c r="A369" s="1056"/>
      <c r="B369" s="1078"/>
      <c r="C369" s="1079"/>
      <c r="D369" s="1078"/>
      <c r="E369" s="1097"/>
      <c r="F369" s="1097"/>
      <c r="G369" s="1066"/>
      <c r="H369" s="1069"/>
      <c r="I369" s="1069"/>
      <c r="J369" s="1128" t="str">
        <f t="shared" si="26"/>
        <v/>
      </c>
      <c r="K369" s="1069"/>
      <c r="L369" s="1069"/>
      <c r="M369" s="1129" t="str">
        <f t="shared" si="27"/>
        <v/>
      </c>
      <c r="N369" s="1069"/>
      <c r="O369" s="1069"/>
      <c r="P369" s="1129" t="str">
        <f t="shared" si="28"/>
        <v/>
      </c>
      <c r="Q369" s="1069"/>
      <c r="R369" s="1069"/>
      <c r="S369" s="1129" t="str">
        <f t="shared" si="29"/>
        <v/>
      </c>
      <c r="T369" s="1068"/>
      <c r="U369" s="1069"/>
      <c r="V369" s="1267" t="str">
        <f t="shared" si="30"/>
        <v/>
      </c>
      <c r="W369" s="1056"/>
      <c r="X369" s="1056"/>
      <c r="Y369" s="1056"/>
      <c r="Z369" s="1056"/>
      <c r="AA369" s="1056"/>
      <c r="AB369" s="1056"/>
      <c r="AC369" s="1056"/>
      <c r="AD369" s="1056"/>
      <c r="AE369" s="1056"/>
      <c r="AF369" s="1056"/>
      <c r="AG369" s="1056"/>
      <c r="AH369" s="1056"/>
      <c r="AI369" s="1056"/>
      <c r="AJ369" s="1056"/>
      <c r="AK369" s="1056"/>
      <c r="AL369" s="1056"/>
      <c r="AM369" s="1056"/>
      <c r="AN369" s="1056"/>
      <c r="AO369" s="1056"/>
      <c r="AP369" s="1056"/>
      <c r="AQ369" s="1056"/>
      <c r="AR369" s="1056"/>
      <c r="AS369" s="1056"/>
      <c r="AT369" s="1056"/>
      <c r="AU369" s="1056"/>
      <c r="AV369" s="1056"/>
      <c r="AW369" s="1056"/>
    </row>
    <row r="370" spans="1:49" s="1062" customFormat="1" x14ac:dyDescent="0.2">
      <c r="A370" s="1056"/>
      <c r="B370" s="1078"/>
      <c r="C370" s="1079"/>
      <c r="D370" s="1078"/>
      <c r="E370" s="1097"/>
      <c r="F370" s="1097"/>
      <c r="G370" s="1066"/>
      <c r="H370" s="1069"/>
      <c r="I370" s="1069"/>
      <c r="J370" s="1128" t="str">
        <f t="shared" si="26"/>
        <v/>
      </c>
      <c r="K370" s="1069"/>
      <c r="L370" s="1069"/>
      <c r="M370" s="1129" t="str">
        <f t="shared" si="27"/>
        <v/>
      </c>
      <c r="N370" s="1069"/>
      <c r="O370" s="1069"/>
      <c r="P370" s="1129" t="str">
        <f t="shared" si="28"/>
        <v/>
      </c>
      <c r="Q370" s="1069"/>
      <c r="R370" s="1069"/>
      <c r="S370" s="1129" t="str">
        <f t="shared" si="29"/>
        <v/>
      </c>
      <c r="T370" s="1068"/>
      <c r="U370" s="1069"/>
      <c r="V370" s="1267" t="str">
        <f t="shared" si="30"/>
        <v/>
      </c>
      <c r="W370" s="1056"/>
      <c r="X370" s="1056"/>
      <c r="Y370" s="1056"/>
      <c r="Z370" s="1056"/>
      <c r="AA370" s="1056"/>
      <c r="AB370" s="1056"/>
      <c r="AC370" s="1056"/>
      <c r="AD370" s="1056"/>
      <c r="AE370" s="1056"/>
      <c r="AF370" s="1056"/>
      <c r="AG370" s="1056"/>
      <c r="AH370" s="1056"/>
      <c r="AI370" s="1056"/>
      <c r="AJ370" s="1056"/>
      <c r="AK370" s="1056"/>
      <c r="AL370" s="1056"/>
      <c r="AM370" s="1056"/>
      <c r="AN370" s="1056"/>
      <c r="AO370" s="1056"/>
      <c r="AP370" s="1056"/>
      <c r="AQ370" s="1056"/>
      <c r="AR370" s="1056"/>
      <c r="AS370" s="1056"/>
      <c r="AT370" s="1056"/>
      <c r="AU370" s="1056"/>
      <c r="AV370" s="1056"/>
      <c r="AW370" s="1056"/>
    </row>
    <row r="371" spans="1:49" s="1062" customFormat="1" x14ac:dyDescent="0.2">
      <c r="A371" s="1056"/>
      <c r="B371" s="1078"/>
      <c r="C371" s="1079"/>
      <c r="D371" s="1078"/>
      <c r="E371" s="1098"/>
      <c r="F371" s="1098"/>
      <c r="G371" s="1066"/>
      <c r="H371" s="1069"/>
      <c r="I371" s="1069"/>
      <c r="J371" s="1128" t="str">
        <f t="shared" si="26"/>
        <v/>
      </c>
      <c r="K371" s="1069"/>
      <c r="L371" s="1069"/>
      <c r="M371" s="1129" t="str">
        <f t="shared" si="27"/>
        <v/>
      </c>
      <c r="N371" s="1069"/>
      <c r="O371" s="1069"/>
      <c r="P371" s="1129" t="str">
        <f t="shared" si="28"/>
        <v/>
      </c>
      <c r="Q371" s="1069"/>
      <c r="R371" s="1069"/>
      <c r="S371" s="1129" t="str">
        <f t="shared" si="29"/>
        <v/>
      </c>
      <c r="T371" s="1068"/>
      <c r="U371" s="1069"/>
      <c r="V371" s="1267" t="str">
        <f t="shared" si="30"/>
        <v/>
      </c>
      <c r="W371" s="1056"/>
      <c r="X371" s="1056"/>
      <c r="Y371" s="1056"/>
      <c r="Z371" s="1056"/>
      <c r="AA371" s="1056"/>
      <c r="AB371" s="1056"/>
      <c r="AC371" s="1056"/>
      <c r="AD371" s="1056"/>
      <c r="AE371" s="1056"/>
      <c r="AF371" s="1056"/>
      <c r="AG371" s="1056"/>
      <c r="AH371" s="1056"/>
      <c r="AI371" s="1056"/>
      <c r="AJ371" s="1056"/>
      <c r="AK371" s="1056"/>
      <c r="AL371" s="1056"/>
      <c r="AM371" s="1056"/>
      <c r="AN371" s="1056"/>
      <c r="AO371" s="1056"/>
      <c r="AP371" s="1056"/>
      <c r="AQ371" s="1056"/>
      <c r="AR371" s="1056"/>
      <c r="AS371" s="1056"/>
      <c r="AT371" s="1056"/>
      <c r="AU371" s="1056"/>
      <c r="AV371" s="1056"/>
      <c r="AW371" s="1056"/>
    </row>
    <row r="372" spans="1:49" s="1062" customFormat="1" x14ac:dyDescent="0.2">
      <c r="A372" s="1056"/>
      <c r="B372" s="1078"/>
      <c r="C372" s="1079"/>
      <c r="D372" s="1078"/>
      <c r="E372" s="1098"/>
      <c r="F372" s="1098"/>
      <c r="G372" s="1066"/>
      <c r="H372" s="1069"/>
      <c r="I372" s="1069"/>
      <c r="J372" s="1128" t="str">
        <f t="shared" si="26"/>
        <v/>
      </c>
      <c r="K372" s="1069"/>
      <c r="L372" s="1069"/>
      <c r="M372" s="1129" t="str">
        <f t="shared" si="27"/>
        <v/>
      </c>
      <c r="N372" s="1069"/>
      <c r="O372" s="1069"/>
      <c r="P372" s="1129" t="str">
        <f t="shared" si="28"/>
        <v/>
      </c>
      <c r="Q372" s="1069"/>
      <c r="R372" s="1069"/>
      <c r="S372" s="1129" t="str">
        <f t="shared" si="29"/>
        <v/>
      </c>
      <c r="T372" s="1068"/>
      <c r="U372" s="1069"/>
      <c r="V372" s="1267" t="str">
        <f t="shared" si="30"/>
        <v/>
      </c>
      <c r="W372" s="1056"/>
      <c r="X372" s="1056"/>
      <c r="Y372" s="1056"/>
      <c r="Z372" s="1056"/>
      <c r="AA372" s="1056"/>
      <c r="AB372" s="1056"/>
      <c r="AC372" s="1056"/>
      <c r="AD372" s="1056"/>
      <c r="AE372" s="1056"/>
      <c r="AF372" s="1056"/>
      <c r="AG372" s="1056"/>
      <c r="AH372" s="1056"/>
      <c r="AI372" s="1056"/>
      <c r="AJ372" s="1056"/>
      <c r="AK372" s="1056"/>
      <c r="AL372" s="1056"/>
      <c r="AM372" s="1056"/>
      <c r="AN372" s="1056"/>
      <c r="AO372" s="1056"/>
      <c r="AP372" s="1056"/>
      <c r="AQ372" s="1056"/>
      <c r="AR372" s="1056"/>
      <c r="AS372" s="1056"/>
      <c r="AT372" s="1056"/>
      <c r="AU372" s="1056"/>
      <c r="AV372" s="1056"/>
      <c r="AW372" s="1056"/>
    </row>
    <row r="373" spans="1:49" s="1062" customFormat="1" x14ac:dyDescent="0.2">
      <c r="A373" s="1056"/>
      <c r="B373" s="1078"/>
      <c r="C373" s="1079"/>
      <c r="D373" s="1078"/>
      <c r="E373" s="1081"/>
      <c r="F373" s="1081"/>
      <c r="G373" s="1066"/>
      <c r="H373" s="1069"/>
      <c r="I373" s="1069"/>
      <c r="J373" s="1128" t="str">
        <f t="shared" si="26"/>
        <v/>
      </c>
      <c r="K373" s="1069"/>
      <c r="L373" s="1069"/>
      <c r="M373" s="1129" t="str">
        <f t="shared" si="27"/>
        <v/>
      </c>
      <c r="N373" s="1069"/>
      <c r="O373" s="1069"/>
      <c r="P373" s="1129" t="str">
        <f t="shared" si="28"/>
        <v/>
      </c>
      <c r="Q373" s="1069"/>
      <c r="R373" s="1069"/>
      <c r="S373" s="1129" t="str">
        <f t="shared" si="29"/>
        <v/>
      </c>
      <c r="T373" s="1068"/>
      <c r="U373" s="1069"/>
      <c r="V373" s="1267" t="str">
        <f t="shared" si="30"/>
        <v/>
      </c>
      <c r="W373" s="1056"/>
      <c r="X373" s="1056"/>
      <c r="Y373" s="1056"/>
      <c r="Z373" s="1056"/>
      <c r="AA373" s="1056"/>
      <c r="AB373" s="1056"/>
      <c r="AC373" s="1056"/>
      <c r="AD373" s="1056"/>
      <c r="AE373" s="1056"/>
      <c r="AF373" s="1056"/>
      <c r="AG373" s="1056"/>
      <c r="AH373" s="1056"/>
      <c r="AI373" s="1056"/>
      <c r="AJ373" s="1056"/>
      <c r="AK373" s="1056"/>
      <c r="AL373" s="1056"/>
      <c r="AM373" s="1056"/>
      <c r="AN373" s="1056"/>
      <c r="AO373" s="1056"/>
      <c r="AP373" s="1056"/>
      <c r="AQ373" s="1056"/>
      <c r="AR373" s="1056"/>
      <c r="AS373" s="1056"/>
      <c r="AT373" s="1056"/>
      <c r="AU373" s="1056"/>
      <c r="AV373" s="1056"/>
      <c r="AW373" s="1056"/>
    </row>
    <row r="374" spans="1:49" s="1062" customFormat="1" x14ac:dyDescent="0.2">
      <c r="A374" s="1056"/>
      <c r="B374" s="1078"/>
      <c r="C374" s="1079"/>
      <c r="D374" s="1078"/>
      <c r="E374" s="1081"/>
      <c r="F374" s="1081"/>
      <c r="G374" s="1066"/>
      <c r="H374" s="1069"/>
      <c r="I374" s="1069"/>
      <c r="J374" s="1128" t="str">
        <f t="shared" si="26"/>
        <v/>
      </c>
      <c r="K374" s="1069"/>
      <c r="L374" s="1069"/>
      <c r="M374" s="1129" t="str">
        <f t="shared" si="27"/>
        <v/>
      </c>
      <c r="N374" s="1069"/>
      <c r="O374" s="1069"/>
      <c r="P374" s="1129" t="str">
        <f t="shared" si="28"/>
        <v/>
      </c>
      <c r="Q374" s="1069"/>
      <c r="R374" s="1069"/>
      <c r="S374" s="1129" t="str">
        <f t="shared" si="29"/>
        <v/>
      </c>
      <c r="T374" s="1068"/>
      <c r="U374" s="1069"/>
      <c r="V374" s="1267" t="str">
        <f t="shared" si="30"/>
        <v/>
      </c>
      <c r="W374" s="1056"/>
      <c r="X374" s="1056"/>
      <c r="Y374" s="1056"/>
      <c r="Z374" s="1056"/>
      <c r="AA374" s="1056"/>
      <c r="AB374" s="1056"/>
      <c r="AC374" s="1056"/>
      <c r="AD374" s="1056"/>
      <c r="AE374" s="1056"/>
      <c r="AF374" s="1056"/>
      <c r="AG374" s="1056"/>
      <c r="AH374" s="1056"/>
      <c r="AI374" s="1056"/>
      <c r="AJ374" s="1056"/>
      <c r="AK374" s="1056"/>
      <c r="AL374" s="1056"/>
      <c r="AM374" s="1056"/>
      <c r="AN374" s="1056"/>
      <c r="AO374" s="1056"/>
      <c r="AP374" s="1056"/>
      <c r="AQ374" s="1056"/>
      <c r="AR374" s="1056"/>
      <c r="AS374" s="1056"/>
      <c r="AT374" s="1056"/>
      <c r="AU374" s="1056"/>
      <c r="AV374" s="1056"/>
      <c r="AW374" s="1056"/>
    </row>
    <row r="375" spans="1:49" s="1062" customFormat="1" x14ac:dyDescent="0.2">
      <c r="A375" s="1056"/>
      <c r="B375" s="1078"/>
      <c r="C375" s="1079"/>
      <c r="D375" s="1078"/>
      <c r="E375" s="1081"/>
      <c r="F375" s="1081"/>
      <c r="G375" s="1066"/>
      <c r="H375" s="1069"/>
      <c r="I375" s="1069"/>
      <c r="J375" s="1128" t="str">
        <f t="shared" si="26"/>
        <v/>
      </c>
      <c r="K375" s="1069"/>
      <c r="L375" s="1069"/>
      <c r="M375" s="1129" t="str">
        <f t="shared" si="27"/>
        <v/>
      </c>
      <c r="N375" s="1069"/>
      <c r="O375" s="1069"/>
      <c r="P375" s="1129" t="str">
        <f t="shared" si="28"/>
        <v/>
      </c>
      <c r="Q375" s="1069"/>
      <c r="R375" s="1069"/>
      <c r="S375" s="1129" t="str">
        <f t="shared" si="29"/>
        <v/>
      </c>
      <c r="T375" s="1068"/>
      <c r="U375" s="1069"/>
      <c r="V375" s="1267" t="str">
        <f t="shared" si="30"/>
        <v/>
      </c>
      <c r="W375" s="1056"/>
      <c r="X375" s="1056"/>
      <c r="Y375" s="1056"/>
      <c r="Z375" s="1056"/>
      <c r="AA375" s="1056"/>
      <c r="AB375" s="1056"/>
      <c r="AC375" s="1056"/>
      <c r="AD375" s="1056"/>
      <c r="AE375" s="1056"/>
      <c r="AF375" s="1056"/>
      <c r="AG375" s="1056"/>
      <c r="AH375" s="1056"/>
      <c r="AI375" s="1056"/>
      <c r="AJ375" s="1056"/>
      <c r="AK375" s="1056"/>
      <c r="AL375" s="1056"/>
      <c r="AM375" s="1056"/>
      <c r="AN375" s="1056"/>
      <c r="AO375" s="1056"/>
      <c r="AP375" s="1056"/>
      <c r="AQ375" s="1056"/>
      <c r="AR375" s="1056"/>
      <c r="AS375" s="1056"/>
      <c r="AT375" s="1056"/>
      <c r="AU375" s="1056"/>
      <c r="AV375" s="1056"/>
      <c r="AW375" s="1056"/>
    </row>
    <row r="376" spans="1:49" s="1062" customFormat="1" x14ac:dyDescent="0.2">
      <c r="A376" s="1056"/>
      <c r="B376" s="1078"/>
      <c r="C376" s="1079"/>
      <c r="D376" s="1078"/>
      <c r="E376" s="1081"/>
      <c r="F376" s="1081"/>
      <c r="G376" s="1066"/>
      <c r="H376" s="1069"/>
      <c r="I376" s="1069"/>
      <c r="J376" s="1128" t="str">
        <f t="shared" si="26"/>
        <v/>
      </c>
      <c r="K376" s="1069"/>
      <c r="L376" s="1069"/>
      <c r="M376" s="1129" t="str">
        <f t="shared" si="27"/>
        <v/>
      </c>
      <c r="N376" s="1069"/>
      <c r="O376" s="1069"/>
      <c r="P376" s="1129" t="str">
        <f t="shared" si="28"/>
        <v/>
      </c>
      <c r="Q376" s="1069"/>
      <c r="R376" s="1069"/>
      <c r="S376" s="1129" t="str">
        <f t="shared" si="29"/>
        <v/>
      </c>
      <c r="T376" s="1068"/>
      <c r="U376" s="1069"/>
      <c r="V376" s="1267" t="str">
        <f t="shared" si="30"/>
        <v/>
      </c>
      <c r="W376" s="1056"/>
      <c r="X376" s="1056"/>
      <c r="Y376" s="1056"/>
      <c r="Z376" s="1056"/>
      <c r="AA376" s="1056"/>
      <c r="AB376" s="1056"/>
      <c r="AC376" s="1056"/>
      <c r="AD376" s="1056"/>
      <c r="AE376" s="1056"/>
      <c r="AF376" s="1056"/>
      <c r="AG376" s="1056"/>
      <c r="AH376" s="1056"/>
      <c r="AI376" s="1056"/>
      <c r="AJ376" s="1056"/>
      <c r="AK376" s="1056"/>
      <c r="AL376" s="1056"/>
      <c r="AM376" s="1056"/>
      <c r="AN376" s="1056"/>
      <c r="AO376" s="1056"/>
      <c r="AP376" s="1056"/>
      <c r="AQ376" s="1056"/>
      <c r="AR376" s="1056"/>
      <c r="AS376" s="1056"/>
      <c r="AT376" s="1056"/>
      <c r="AU376" s="1056"/>
      <c r="AV376" s="1056"/>
      <c r="AW376" s="1056"/>
    </row>
    <row r="377" spans="1:49" s="1062" customFormat="1" x14ac:dyDescent="0.2">
      <c r="A377" s="1056"/>
      <c r="B377" s="1078"/>
      <c r="C377" s="1079"/>
      <c r="D377" s="1078"/>
      <c r="E377" s="1081"/>
      <c r="F377" s="1081"/>
      <c r="G377" s="1066"/>
      <c r="H377" s="1069"/>
      <c r="I377" s="1069"/>
      <c r="J377" s="1128" t="str">
        <f t="shared" si="26"/>
        <v/>
      </c>
      <c r="K377" s="1069"/>
      <c r="L377" s="1069"/>
      <c r="M377" s="1129" t="str">
        <f t="shared" si="27"/>
        <v/>
      </c>
      <c r="N377" s="1069"/>
      <c r="O377" s="1069"/>
      <c r="P377" s="1129" t="str">
        <f t="shared" si="28"/>
        <v/>
      </c>
      <c r="Q377" s="1069"/>
      <c r="R377" s="1069"/>
      <c r="S377" s="1129" t="str">
        <f t="shared" si="29"/>
        <v/>
      </c>
      <c r="T377" s="1068"/>
      <c r="U377" s="1069"/>
      <c r="V377" s="1267" t="str">
        <f t="shared" si="30"/>
        <v/>
      </c>
      <c r="W377" s="1056"/>
      <c r="X377" s="1056"/>
      <c r="Y377" s="1056"/>
      <c r="Z377" s="1056"/>
      <c r="AA377" s="1056"/>
      <c r="AB377" s="1056"/>
      <c r="AC377" s="1056"/>
      <c r="AD377" s="1056"/>
      <c r="AE377" s="1056"/>
      <c r="AF377" s="1056"/>
      <c r="AG377" s="1056"/>
      <c r="AH377" s="1056"/>
      <c r="AI377" s="1056"/>
      <c r="AJ377" s="1056"/>
      <c r="AK377" s="1056"/>
      <c r="AL377" s="1056"/>
      <c r="AM377" s="1056"/>
      <c r="AN377" s="1056"/>
      <c r="AO377" s="1056"/>
      <c r="AP377" s="1056"/>
      <c r="AQ377" s="1056"/>
      <c r="AR377" s="1056"/>
      <c r="AS377" s="1056"/>
      <c r="AT377" s="1056"/>
      <c r="AU377" s="1056"/>
      <c r="AV377" s="1056"/>
      <c r="AW377" s="1056"/>
    </row>
    <row r="378" spans="1:49" s="1062" customFormat="1" x14ac:dyDescent="0.2">
      <c r="A378" s="1056"/>
      <c r="B378" s="1078"/>
      <c r="C378" s="1079"/>
      <c r="D378" s="1078"/>
      <c r="E378" s="1081"/>
      <c r="F378" s="1081"/>
      <c r="G378" s="1066"/>
      <c r="H378" s="1069"/>
      <c r="I378" s="1069"/>
      <c r="J378" s="1128" t="str">
        <f t="shared" si="26"/>
        <v/>
      </c>
      <c r="K378" s="1069"/>
      <c r="L378" s="1069"/>
      <c r="M378" s="1129" t="str">
        <f t="shared" si="27"/>
        <v/>
      </c>
      <c r="N378" s="1069"/>
      <c r="O378" s="1069"/>
      <c r="P378" s="1129" t="str">
        <f t="shared" si="28"/>
        <v/>
      </c>
      <c r="Q378" s="1069"/>
      <c r="R378" s="1069"/>
      <c r="S378" s="1129" t="str">
        <f t="shared" si="29"/>
        <v/>
      </c>
      <c r="T378" s="1068"/>
      <c r="U378" s="1069"/>
      <c r="V378" s="1267" t="str">
        <f t="shared" si="30"/>
        <v/>
      </c>
      <c r="W378" s="1056"/>
      <c r="X378" s="1056"/>
      <c r="Y378" s="1056"/>
      <c r="Z378" s="1056"/>
      <c r="AA378" s="1056"/>
      <c r="AB378" s="1056"/>
      <c r="AC378" s="1056"/>
      <c r="AD378" s="1056"/>
      <c r="AE378" s="1056"/>
      <c r="AF378" s="1056"/>
      <c r="AG378" s="1056"/>
      <c r="AH378" s="1056"/>
      <c r="AI378" s="1056"/>
      <c r="AJ378" s="1056"/>
      <c r="AK378" s="1056"/>
      <c r="AL378" s="1056"/>
      <c r="AM378" s="1056"/>
      <c r="AN378" s="1056"/>
      <c r="AO378" s="1056"/>
      <c r="AP378" s="1056"/>
      <c r="AQ378" s="1056"/>
      <c r="AR378" s="1056"/>
      <c r="AS378" s="1056"/>
      <c r="AT378" s="1056"/>
      <c r="AU378" s="1056"/>
      <c r="AV378" s="1056"/>
      <c r="AW378" s="1056"/>
    </row>
    <row r="379" spans="1:49" s="1062" customFormat="1" x14ac:dyDescent="0.2">
      <c r="A379" s="1056"/>
      <c r="B379" s="1078"/>
      <c r="C379" s="1079"/>
      <c r="D379" s="1078"/>
      <c r="E379" s="1099"/>
      <c r="F379" s="1099"/>
      <c r="G379" s="1066"/>
      <c r="H379" s="1069"/>
      <c r="I379" s="1069"/>
      <c r="J379" s="1128" t="str">
        <f t="shared" si="26"/>
        <v/>
      </c>
      <c r="K379" s="1069"/>
      <c r="L379" s="1069"/>
      <c r="M379" s="1129" t="str">
        <f t="shared" si="27"/>
        <v/>
      </c>
      <c r="N379" s="1069"/>
      <c r="O379" s="1069"/>
      <c r="P379" s="1129" t="str">
        <f t="shared" si="28"/>
        <v/>
      </c>
      <c r="Q379" s="1069"/>
      <c r="R379" s="1069"/>
      <c r="S379" s="1129" t="str">
        <f t="shared" si="29"/>
        <v/>
      </c>
      <c r="T379" s="1068"/>
      <c r="U379" s="1069"/>
      <c r="V379" s="1267" t="str">
        <f t="shared" si="30"/>
        <v/>
      </c>
      <c r="W379" s="1056"/>
      <c r="X379" s="1056"/>
      <c r="Y379" s="1056"/>
      <c r="Z379" s="1056"/>
      <c r="AA379" s="1056"/>
      <c r="AB379" s="1056"/>
      <c r="AC379" s="1056"/>
      <c r="AD379" s="1056"/>
      <c r="AE379" s="1056"/>
      <c r="AF379" s="1056"/>
      <c r="AG379" s="1056"/>
      <c r="AH379" s="1056"/>
      <c r="AI379" s="1056"/>
      <c r="AJ379" s="1056"/>
      <c r="AK379" s="1056"/>
      <c r="AL379" s="1056"/>
      <c r="AM379" s="1056"/>
      <c r="AN379" s="1056"/>
      <c r="AO379" s="1056"/>
      <c r="AP379" s="1056"/>
      <c r="AQ379" s="1056"/>
      <c r="AR379" s="1056"/>
      <c r="AS379" s="1056"/>
      <c r="AT379" s="1056"/>
      <c r="AU379" s="1056"/>
      <c r="AV379" s="1056"/>
      <c r="AW379" s="1056"/>
    </row>
    <row r="380" spans="1:49" s="1062" customFormat="1" x14ac:dyDescent="0.2">
      <c r="A380" s="1056"/>
      <c r="B380" s="1078"/>
      <c r="C380" s="1079"/>
      <c r="D380" s="1078"/>
      <c r="E380" s="1100"/>
      <c r="F380" s="1100"/>
      <c r="G380" s="1066"/>
      <c r="H380" s="1069"/>
      <c r="I380" s="1069"/>
      <c r="J380" s="1128" t="str">
        <f t="shared" si="26"/>
        <v/>
      </c>
      <c r="K380" s="1069"/>
      <c r="L380" s="1069"/>
      <c r="M380" s="1129" t="str">
        <f t="shared" si="27"/>
        <v/>
      </c>
      <c r="N380" s="1069"/>
      <c r="O380" s="1069"/>
      <c r="P380" s="1129" t="str">
        <f t="shared" si="28"/>
        <v/>
      </c>
      <c r="Q380" s="1069"/>
      <c r="R380" s="1069"/>
      <c r="S380" s="1129" t="str">
        <f t="shared" si="29"/>
        <v/>
      </c>
      <c r="T380" s="1068"/>
      <c r="U380" s="1069"/>
      <c r="V380" s="1267" t="str">
        <f t="shared" si="30"/>
        <v/>
      </c>
      <c r="W380" s="1056"/>
      <c r="X380" s="1056"/>
      <c r="Y380" s="1056"/>
      <c r="Z380" s="1056"/>
      <c r="AA380" s="1056"/>
      <c r="AB380" s="1056"/>
      <c r="AC380" s="1056"/>
      <c r="AD380" s="1056"/>
      <c r="AE380" s="1056"/>
      <c r="AF380" s="1056"/>
      <c r="AG380" s="1056"/>
      <c r="AH380" s="1056"/>
      <c r="AI380" s="1056"/>
      <c r="AJ380" s="1056"/>
      <c r="AK380" s="1056"/>
      <c r="AL380" s="1056"/>
      <c r="AM380" s="1056"/>
      <c r="AN380" s="1056"/>
      <c r="AO380" s="1056"/>
      <c r="AP380" s="1056"/>
      <c r="AQ380" s="1056"/>
      <c r="AR380" s="1056"/>
      <c r="AS380" s="1056"/>
      <c r="AT380" s="1056"/>
      <c r="AU380" s="1056"/>
      <c r="AV380" s="1056"/>
      <c r="AW380" s="1056"/>
    </row>
    <row r="381" spans="1:49" s="1062" customFormat="1" x14ac:dyDescent="0.2">
      <c r="A381" s="1056"/>
      <c r="B381" s="1078"/>
      <c r="C381" s="1079"/>
      <c r="D381" s="1078"/>
      <c r="E381" s="1100"/>
      <c r="F381" s="1100"/>
      <c r="G381" s="1066"/>
      <c r="H381" s="1069"/>
      <c r="I381" s="1069"/>
      <c r="J381" s="1128" t="str">
        <f t="shared" si="26"/>
        <v/>
      </c>
      <c r="K381" s="1069"/>
      <c r="L381" s="1069"/>
      <c r="M381" s="1129" t="str">
        <f t="shared" si="27"/>
        <v/>
      </c>
      <c r="N381" s="1069"/>
      <c r="O381" s="1069"/>
      <c r="P381" s="1129" t="str">
        <f t="shared" si="28"/>
        <v/>
      </c>
      <c r="Q381" s="1069"/>
      <c r="R381" s="1069"/>
      <c r="S381" s="1129" t="str">
        <f t="shared" si="29"/>
        <v/>
      </c>
      <c r="T381" s="1068"/>
      <c r="U381" s="1069"/>
      <c r="V381" s="1267" t="str">
        <f t="shared" si="30"/>
        <v/>
      </c>
      <c r="W381" s="1056"/>
      <c r="X381" s="1056"/>
      <c r="Y381" s="1056"/>
      <c r="Z381" s="1056"/>
      <c r="AA381" s="1056"/>
      <c r="AB381" s="1056"/>
      <c r="AC381" s="1056"/>
      <c r="AD381" s="1056"/>
      <c r="AE381" s="1056"/>
      <c r="AF381" s="1056"/>
      <c r="AG381" s="1056"/>
      <c r="AH381" s="1056"/>
      <c r="AI381" s="1056"/>
      <c r="AJ381" s="1056"/>
      <c r="AK381" s="1056"/>
      <c r="AL381" s="1056"/>
      <c r="AM381" s="1056"/>
      <c r="AN381" s="1056"/>
      <c r="AO381" s="1056"/>
      <c r="AP381" s="1056"/>
      <c r="AQ381" s="1056"/>
      <c r="AR381" s="1056"/>
      <c r="AS381" s="1056"/>
      <c r="AT381" s="1056"/>
      <c r="AU381" s="1056"/>
      <c r="AV381" s="1056"/>
      <c r="AW381" s="1056"/>
    </row>
    <row r="382" spans="1:49" s="1062" customFormat="1" x14ac:dyDescent="0.2">
      <c r="A382" s="1056"/>
      <c r="B382" s="1078"/>
      <c r="C382" s="1079"/>
      <c r="D382" s="1078"/>
      <c r="E382" s="1100"/>
      <c r="F382" s="1100"/>
      <c r="G382" s="1066"/>
      <c r="H382" s="1069"/>
      <c r="I382" s="1069"/>
      <c r="J382" s="1128" t="str">
        <f t="shared" si="26"/>
        <v/>
      </c>
      <c r="K382" s="1069"/>
      <c r="L382" s="1069"/>
      <c r="M382" s="1129" t="str">
        <f t="shared" si="27"/>
        <v/>
      </c>
      <c r="N382" s="1069"/>
      <c r="O382" s="1069"/>
      <c r="P382" s="1129" t="str">
        <f t="shared" si="28"/>
        <v/>
      </c>
      <c r="Q382" s="1069"/>
      <c r="R382" s="1069"/>
      <c r="S382" s="1129" t="str">
        <f t="shared" si="29"/>
        <v/>
      </c>
      <c r="T382" s="1068"/>
      <c r="U382" s="1069"/>
      <c r="V382" s="1267" t="str">
        <f t="shared" si="30"/>
        <v/>
      </c>
      <c r="W382" s="1056"/>
      <c r="X382" s="1056"/>
      <c r="Y382" s="1056"/>
      <c r="Z382" s="1056"/>
      <c r="AA382" s="1056"/>
      <c r="AB382" s="1056"/>
      <c r="AC382" s="1056"/>
      <c r="AD382" s="1056"/>
      <c r="AE382" s="1056"/>
      <c r="AF382" s="1056"/>
      <c r="AG382" s="1056"/>
      <c r="AH382" s="1056"/>
      <c r="AI382" s="1056"/>
      <c r="AJ382" s="1056"/>
      <c r="AK382" s="1056"/>
      <c r="AL382" s="1056"/>
      <c r="AM382" s="1056"/>
      <c r="AN382" s="1056"/>
      <c r="AO382" s="1056"/>
      <c r="AP382" s="1056"/>
      <c r="AQ382" s="1056"/>
      <c r="AR382" s="1056"/>
      <c r="AS382" s="1056"/>
      <c r="AT382" s="1056"/>
      <c r="AU382" s="1056"/>
      <c r="AV382" s="1056"/>
      <c r="AW382" s="1056"/>
    </row>
    <row r="383" spans="1:49" s="1062" customFormat="1" x14ac:dyDescent="0.2">
      <c r="A383" s="1056"/>
      <c r="B383" s="1078"/>
      <c r="C383" s="1079"/>
      <c r="D383" s="1078"/>
      <c r="E383" s="1100"/>
      <c r="F383" s="1100"/>
      <c r="G383" s="1066"/>
      <c r="H383" s="1069"/>
      <c r="I383" s="1069"/>
      <c r="J383" s="1128" t="str">
        <f t="shared" si="26"/>
        <v/>
      </c>
      <c r="K383" s="1069"/>
      <c r="L383" s="1069"/>
      <c r="M383" s="1129" t="str">
        <f t="shared" si="27"/>
        <v/>
      </c>
      <c r="N383" s="1069"/>
      <c r="O383" s="1069"/>
      <c r="P383" s="1129" t="str">
        <f t="shared" si="28"/>
        <v/>
      </c>
      <c r="Q383" s="1069"/>
      <c r="R383" s="1069"/>
      <c r="S383" s="1129" t="str">
        <f t="shared" si="29"/>
        <v/>
      </c>
      <c r="T383" s="1068"/>
      <c r="U383" s="1069"/>
      <c r="V383" s="1267" t="str">
        <f t="shared" si="30"/>
        <v/>
      </c>
      <c r="W383" s="1056"/>
      <c r="X383" s="1056"/>
      <c r="Y383" s="1056"/>
      <c r="Z383" s="1056"/>
      <c r="AA383" s="1056"/>
      <c r="AB383" s="1056"/>
      <c r="AC383" s="1056"/>
      <c r="AD383" s="1056"/>
      <c r="AE383" s="1056"/>
      <c r="AF383" s="1056"/>
      <c r="AG383" s="1056"/>
      <c r="AH383" s="1056"/>
      <c r="AI383" s="1056"/>
      <c r="AJ383" s="1056"/>
      <c r="AK383" s="1056"/>
      <c r="AL383" s="1056"/>
      <c r="AM383" s="1056"/>
      <c r="AN383" s="1056"/>
      <c r="AO383" s="1056"/>
      <c r="AP383" s="1056"/>
      <c r="AQ383" s="1056"/>
      <c r="AR383" s="1056"/>
      <c r="AS383" s="1056"/>
      <c r="AT383" s="1056"/>
      <c r="AU383" s="1056"/>
      <c r="AV383" s="1056"/>
      <c r="AW383" s="1056"/>
    </row>
    <row r="384" spans="1:49" s="1062" customFormat="1" x14ac:dyDescent="0.2">
      <c r="A384" s="1056"/>
      <c r="B384" s="1078"/>
      <c r="C384" s="1079"/>
      <c r="D384" s="1078"/>
      <c r="E384" s="1100"/>
      <c r="F384" s="1100"/>
      <c r="G384" s="1066"/>
      <c r="H384" s="1069"/>
      <c r="I384" s="1069"/>
      <c r="J384" s="1128" t="str">
        <f t="shared" si="26"/>
        <v/>
      </c>
      <c r="K384" s="1069"/>
      <c r="L384" s="1069"/>
      <c r="M384" s="1129" t="str">
        <f t="shared" si="27"/>
        <v/>
      </c>
      <c r="N384" s="1069"/>
      <c r="O384" s="1069"/>
      <c r="P384" s="1129" t="str">
        <f t="shared" si="28"/>
        <v/>
      </c>
      <c r="Q384" s="1069"/>
      <c r="R384" s="1069"/>
      <c r="S384" s="1129" t="str">
        <f t="shared" si="29"/>
        <v/>
      </c>
      <c r="T384" s="1068"/>
      <c r="U384" s="1069"/>
      <c r="V384" s="1267" t="str">
        <f t="shared" si="30"/>
        <v/>
      </c>
      <c r="W384" s="1056"/>
      <c r="X384" s="1056"/>
      <c r="Y384" s="1056"/>
      <c r="Z384" s="1056"/>
      <c r="AA384" s="1056"/>
      <c r="AB384" s="1056"/>
      <c r="AC384" s="1056"/>
      <c r="AD384" s="1056"/>
      <c r="AE384" s="1056"/>
      <c r="AF384" s="1056"/>
      <c r="AG384" s="1056"/>
      <c r="AH384" s="1056"/>
      <c r="AI384" s="1056"/>
      <c r="AJ384" s="1056"/>
      <c r="AK384" s="1056"/>
      <c r="AL384" s="1056"/>
      <c r="AM384" s="1056"/>
      <c r="AN384" s="1056"/>
      <c r="AO384" s="1056"/>
      <c r="AP384" s="1056"/>
      <c r="AQ384" s="1056"/>
      <c r="AR384" s="1056"/>
      <c r="AS384" s="1056"/>
      <c r="AT384" s="1056"/>
      <c r="AU384" s="1056"/>
      <c r="AV384" s="1056"/>
      <c r="AW384" s="1056"/>
    </row>
    <row r="385" spans="2:23" x14ac:dyDescent="0.2">
      <c r="B385" s="1078"/>
      <c r="C385" s="1079"/>
      <c r="D385" s="1078"/>
      <c r="E385" s="1100"/>
      <c r="F385" s="1100"/>
      <c r="G385" s="1066"/>
      <c r="H385" s="1069"/>
      <c r="I385" s="1069"/>
      <c r="J385" s="1128" t="str">
        <f t="shared" si="26"/>
        <v/>
      </c>
      <c r="K385" s="1069"/>
      <c r="L385" s="1069"/>
      <c r="M385" s="1129" t="str">
        <f t="shared" si="27"/>
        <v/>
      </c>
      <c r="N385" s="1069"/>
      <c r="O385" s="1069"/>
      <c r="P385" s="1129" t="str">
        <f t="shared" si="28"/>
        <v/>
      </c>
      <c r="Q385" s="1069"/>
      <c r="R385" s="1069"/>
      <c r="S385" s="1129" t="str">
        <f t="shared" si="29"/>
        <v/>
      </c>
      <c r="T385" s="1068"/>
      <c r="U385" s="1069"/>
      <c r="V385" s="1267" t="str">
        <f t="shared" si="30"/>
        <v/>
      </c>
      <c r="W385" s="1056"/>
    </row>
    <row r="386" spans="2:23" x14ac:dyDescent="0.2">
      <c r="B386" s="1078"/>
      <c r="C386" s="1079"/>
      <c r="D386" s="1078"/>
      <c r="E386" s="1100"/>
      <c r="F386" s="1100"/>
      <c r="G386" s="1066"/>
      <c r="H386" s="1069"/>
      <c r="I386" s="1069"/>
      <c r="J386" s="1128" t="str">
        <f t="shared" si="26"/>
        <v/>
      </c>
      <c r="K386" s="1069"/>
      <c r="L386" s="1069"/>
      <c r="M386" s="1129" t="str">
        <f t="shared" si="27"/>
        <v/>
      </c>
      <c r="N386" s="1069"/>
      <c r="O386" s="1069"/>
      <c r="P386" s="1129" t="str">
        <f t="shared" si="28"/>
        <v/>
      </c>
      <c r="Q386" s="1069"/>
      <c r="R386" s="1069"/>
      <c r="S386" s="1129" t="str">
        <f t="shared" si="29"/>
        <v/>
      </c>
      <c r="T386" s="1068"/>
      <c r="U386" s="1069"/>
      <c r="V386" s="1267" t="str">
        <f t="shared" si="30"/>
        <v/>
      </c>
      <c r="W386" s="1056"/>
    </row>
    <row r="387" spans="2:23" x14ac:dyDescent="0.2">
      <c r="B387" s="1078"/>
      <c r="C387" s="1079"/>
      <c r="D387" s="1078"/>
      <c r="E387" s="1100"/>
      <c r="F387" s="1100"/>
      <c r="G387" s="1066"/>
      <c r="H387" s="1069"/>
      <c r="I387" s="1069"/>
      <c r="J387" s="1128" t="str">
        <f t="shared" si="26"/>
        <v/>
      </c>
      <c r="K387" s="1069"/>
      <c r="L387" s="1069"/>
      <c r="M387" s="1129" t="str">
        <f t="shared" si="27"/>
        <v/>
      </c>
      <c r="N387" s="1069"/>
      <c r="O387" s="1069"/>
      <c r="P387" s="1129" t="str">
        <f t="shared" si="28"/>
        <v/>
      </c>
      <c r="Q387" s="1069"/>
      <c r="R387" s="1069"/>
      <c r="S387" s="1129" t="str">
        <f t="shared" si="29"/>
        <v/>
      </c>
      <c r="T387" s="1068"/>
      <c r="U387" s="1069"/>
      <c r="V387" s="1267" t="str">
        <f t="shared" si="30"/>
        <v/>
      </c>
      <c r="W387" s="1056"/>
    </row>
    <row r="388" spans="2:23" x14ac:dyDescent="0.2">
      <c r="B388" s="1078"/>
      <c r="C388" s="1079"/>
      <c r="D388" s="1078"/>
      <c r="E388" s="1100"/>
      <c r="F388" s="1100"/>
      <c r="G388" s="1066"/>
      <c r="H388" s="1069"/>
      <c r="I388" s="1069"/>
      <c r="J388" s="1128" t="str">
        <f t="shared" si="26"/>
        <v/>
      </c>
      <c r="K388" s="1069"/>
      <c r="L388" s="1069"/>
      <c r="M388" s="1129" t="str">
        <f t="shared" si="27"/>
        <v/>
      </c>
      <c r="N388" s="1069"/>
      <c r="O388" s="1069"/>
      <c r="P388" s="1129" t="str">
        <f t="shared" si="28"/>
        <v/>
      </c>
      <c r="Q388" s="1069"/>
      <c r="R388" s="1069"/>
      <c r="S388" s="1129" t="str">
        <f t="shared" si="29"/>
        <v/>
      </c>
      <c r="T388" s="1068"/>
      <c r="U388" s="1069"/>
      <c r="V388" s="1267" t="str">
        <f t="shared" si="30"/>
        <v/>
      </c>
      <c r="W388" s="1056"/>
    </row>
    <row r="389" spans="2:23" x14ac:dyDescent="0.2">
      <c r="B389" s="1078"/>
      <c r="C389" s="1079"/>
      <c r="D389" s="1078"/>
      <c r="E389" s="1101"/>
      <c r="F389" s="1101"/>
      <c r="G389" s="1066"/>
      <c r="H389" s="1069"/>
      <c r="I389" s="1069"/>
      <c r="J389" s="1128" t="str">
        <f t="shared" si="26"/>
        <v/>
      </c>
      <c r="K389" s="1069"/>
      <c r="L389" s="1069"/>
      <c r="M389" s="1129" t="str">
        <f t="shared" si="27"/>
        <v/>
      </c>
      <c r="N389" s="1069"/>
      <c r="O389" s="1069"/>
      <c r="P389" s="1129" t="str">
        <f t="shared" si="28"/>
        <v/>
      </c>
      <c r="Q389" s="1069"/>
      <c r="R389" s="1069"/>
      <c r="S389" s="1129" t="str">
        <f t="shared" si="29"/>
        <v/>
      </c>
      <c r="T389" s="1068"/>
      <c r="U389" s="1069"/>
      <c r="V389" s="1267" t="str">
        <f t="shared" si="30"/>
        <v/>
      </c>
      <c r="W389" s="1056"/>
    </row>
    <row r="390" spans="2:23" x14ac:dyDescent="0.2">
      <c r="B390" s="1078"/>
      <c r="C390" s="1079"/>
      <c r="D390" s="1078"/>
      <c r="E390" s="1102"/>
      <c r="F390" s="1102"/>
      <c r="G390" s="1066"/>
      <c r="H390" s="1069"/>
      <c r="I390" s="1069"/>
      <c r="J390" s="1128" t="str">
        <f t="shared" si="26"/>
        <v/>
      </c>
      <c r="K390" s="1069"/>
      <c r="L390" s="1069"/>
      <c r="M390" s="1129" t="str">
        <f t="shared" si="27"/>
        <v/>
      </c>
      <c r="N390" s="1069"/>
      <c r="O390" s="1069"/>
      <c r="P390" s="1129" t="str">
        <f t="shared" si="28"/>
        <v/>
      </c>
      <c r="Q390" s="1069"/>
      <c r="R390" s="1069"/>
      <c r="S390" s="1129" t="str">
        <f t="shared" si="29"/>
        <v/>
      </c>
      <c r="T390" s="1068"/>
      <c r="U390" s="1069"/>
      <c r="V390" s="1267" t="str">
        <f t="shared" si="30"/>
        <v/>
      </c>
      <c r="W390" s="1056"/>
    </row>
    <row r="391" spans="2:23" x14ac:dyDescent="0.2">
      <c r="B391" s="1078"/>
      <c r="C391" s="1079"/>
      <c r="D391" s="1078"/>
      <c r="E391" s="1102"/>
      <c r="F391" s="1102"/>
      <c r="G391" s="1066"/>
      <c r="H391" s="1069"/>
      <c r="I391" s="1069"/>
      <c r="J391" s="1128" t="str">
        <f t="shared" si="26"/>
        <v/>
      </c>
      <c r="K391" s="1069"/>
      <c r="L391" s="1069"/>
      <c r="M391" s="1129" t="str">
        <f t="shared" si="27"/>
        <v/>
      </c>
      <c r="N391" s="1069"/>
      <c r="O391" s="1069"/>
      <c r="P391" s="1129" t="str">
        <f t="shared" si="28"/>
        <v/>
      </c>
      <c r="Q391" s="1069"/>
      <c r="R391" s="1069"/>
      <c r="S391" s="1129" t="str">
        <f t="shared" si="29"/>
        <v/>
      </c>
      <c r="T391" s="1068"/>
      <c r="U391" s="1069"/>
      <c r="V391" s="1267" t="str">
        <f t="shared" si="30"/>
        <v/>
      </c>
      <c r="W391" s="1056"/>
    </row>
    <row r="392" spans="2:23" x14ac:dyDescent="0.2">
      <c r="B392" s="1078"/>
      <c r="C392" s="1079"/>
      <c r="D392" s="1078"/>
      <c r="E392" s="1085"/>
      <c r="F392" s="1085"/>
      <c r="G392" s="1066"/>
      <c r="H392" s="1069"/>
      <c r="I392" s="1069"/>
      <c r="J392" s="1128" t="str">
        <f t="shared" si="26"/>
        <v/>
      </c>
      <c r="K392" s="1069"/>
      <c r="L392" s="1069"/>
      <c r="M392" s="1129" t="str">
        <f t="shared" si="27"/>
        <v/>
      </c>
      <c r="N392" s="1069"/>
      <c r="O392" s="1069"/>
      <c r="P392" s="1129" t="str">
        <f t="shared" si="28"/>
        <v/>
      </c>
      <c r="Q392" s="1069"/>
      <c r="R392" s="1069"/>
      <c r="S392" s="1129" t="str">
        <f t="shared" si="29"/>
        <v/>
      </c>
      <c r="T392" s="1068"/>
      <c r="U392" s="1069"/>
      <c r="V392" s="1267" t="str">
        <f t="shared" si="30"/>
        <v/>
      </c>
      <c r="W392" s="1056"/>
    </row>
    <row r="393" spans="2:23" x14ac:dyDescent="0.2">
      <c r="B393" s="1078"/>
      <c r="C393" s="1079"/>
      <c r="D393" s="1078"/>
      <c r="E393" s="1085"/>
      <c r="F393" s="1085"/>
      <c r="G393" s="1066"/>
      <c r="H393" s="1069"/>
      <c r="I393" s="1069"/>
      <c r="J393" s="1128" t="str">
        <f t="shared" si="26"/>
        <v/>
      </c>
      <c r="K393" s="1069"/>
      <c r="L393" s="1069"/>
      <c r="M393" s="1129" t="str">
        <f t="shared" si="27"/>
        <v/>
      </c>
      <c r="N393" s="1069"/>
      <c r="O393" s="1069"/>
      <c r="P393" s="1129" t="str">
        <f t="shared" si="28"/>
        <v/>
      </c>
      <c r="Q393" s="1069"/>
      <c r="R393" s="1069"/>
      <c r="S393" s="1129" t="str">
        <f t="shared" si="29"/>
        <v/>
      </c>
      <c r="T393" s="1068"/>
      <c r="U393" s="1069"/>
      <c r="V393" s="1267" t="str">
        <f t="shared" si="30"/>
        <v/>
      </c>
      <c r="W393" s="1056"/>
    </row>
    <row r="394" spans="2:23" x14ac:dyDescent="0.2">
      <c r="B394" s="1078"/>
      <c r="C394" s="1079"/>
      <c r="D394" s="1078"/>
      <c r="E394" s="1103"/>
      <c r="F394" s="1103"/>
      <c r="G394" s="1066"/>
      <c r="H394" s="1069"/>
      <c r="I394" s="1069"/>
      <c r="J394" s="1128" t="str">
        <f t="shared" si="26"/>
        <v/>
      </c>
      <c r="K394" s="1069"/>
      <c r="L394" s="1069"/>
      <c r="M394" s="1129" t="str">
        <f t="shared" si="27"/>
        <v/>
      </c>
      <c r="N394" s="1069"/>
      <c r="O394" s="1069"/>
      <c r="P394" s="1129" t="str">
        <f t="shared" si="28"/>
        <v/>
      </c>
      <c r="Q394" s="1069"/>
      <c r="R394" s="1069"/>
      <c r="S394" s="1129" t="str">
        <f t="shared" si="29"/>
        <v/>
      </c>
      <c r="T394" s="1068"/>
      <c r="U394" s="1069"/>
      <c r="V394" s="1267" t="str">
        <f t="shared" si="30"/>
        <v/>
      </c>
      <c r="W394" s="1056"/>
    </row>
    <row r="395" spans="2:23" x14ac:dyDescent="0.2">
      <c r="B395" s="1078"/>
      <c r="C395" s="1079"/>
      <c r="D395" s="1078"/>
      <c r="E395" s="1103"/>
      <c r="F395" s="1103"/>
      <c r="G395" s="1066"/>
      <c r="H395" s="1069"/>
      <c r="I395" s="1069"/>
      <c r="J395" s="1128" t="str">
        <f t="shared" si="26"/>
        <v/>
      </c>
      <c r="K395" s="1069"/>
      <c r="L395" s="1069"/>
      <c r="M395" s="1129" t="str">
        <f t="shared" si="27"/>
        <v/>
      </c>
      <c r="N395" s="1069"/>
      <c r="O395" s="1069"/>
      <c r="P395" s="1129" t="str">
        <f t="shared" si="28"/>
        <v/>
      </c>
      <c r="Q395" s="1069"/>
      <c r="R395" s="1069"/>
      <c r="S395" s="1129" t="str">
        <f t="shared" si="29"/>
        <v/>
      </c>
      <c r="T395" s="1068"/>
      <c r="U395" s="1069"/>
      <c r="V395" s="1267" t="str">
        <f t="shared" si="30"/>
        <v/>
      </c>
      <c r="W395" s="1056"/>
    </row>
    <row r="396" spans="2:23" x14ac:dyDescent="0.2">
      <c r="B396" s="1078"/>
      <c r="C396" s="1079"/>
      <c r="D396" s="1078"/>
      <c r="E396" s="1103"/>
      <c r="F396" s="1103"/>
      <c r="G396" s="1066"/>
      <c r="H396" s="1069"/>
      <c r="I396" s="1069"/>
      <c r="J396" s="1128" t="str">
        <f t="shared" si="26"/>
        <v/>
      </c>
      <c r="K396" s="1069"/>
      <c r="L396" s="1069"/>
      <c r="M396" s="1129" t="str">
        <f t="shared" si="27"/>
        <v/>
      </c>
      <c r="N396" s="1069"/>
      <c r="O396" s="1069"/>
      <c r="P396" s="1129" t="str">
        <f t="shared" si="28"/>
        <v/>
      </c>
      <c r="Q396" s="1069"/>
      <c r="R396" s="1069"/>
      <c r="S396" s="1129" t="str">
        <f t="shared" si="29"/>
        <v/>
      </c>
      <c r="T396" s="1068"/>
      <c r="U396" s="1069"/>
      <c r="V396" s="1267" t="str">
        <f t="shared" si="30"/>
        <v/>
      </c>
      <c r="W396" s="1056"/>
    </row>
    <row r="397" spans="2:23" x14ac:dyDescent="0.2">
      <c r="B397" s="1078"/>
      <c r="C397" s="1079"/>
      <c r="D397" s="1078"/>
      <c r="E397" s="1103"/>
      <c r="F397" s="1103"/>
      <c r="G397" s="1066"/>
      <c r="H397" s="1069"/>
      <c r="I397" s="1069"/>
      <c r="J397" s="1128" t="str">
        <f t="shared" si="26"/>
        <v/>
      </c>
      <c r="K397" s="1069"/>
      <c r="L397" s="1069"/>
      <c r="M397" s="1129" t="str">
        <f t="shared" si="27"/>
        <v/>
      </c>
      <c r="N397" s="1069"/>
      <c r="O397" s="1069"/>
      <c r="P397" s="1129" t="str">
        <f t="shared" si="28"/>
        <v/>
      </c>
      <c r="Q397" s="1069"/>
      <c r="R397" s="1069"/>
      <c r="S397" s="1129" t="str">
        <f t="shared" si="29"/>
        <v/>
      </c>
      <c r="T397" s="1068"/>
      <c r="U397" s="1069"/>
      <c r="V397" s="1267" t="str">
        <f t="shared" si="30"/>
        <v/>
      </c>
      <c r="W397" s="1056"/>
    </row>
    <row r="398" spans="2:23" x14ac:dyDescent="0.2">
      <c r="B398" s="1078"/>
      <c r="C398" s="1079"/>
      <c r="D398" s="1078"/>
      <c r="E398" s="1103"/>
      <c r="F398" s="1103"/>
      <c r="G398" s="1066"/>
      <c r="H398" s="1069"/>
      <c r="I398" s="1069"/>
      <c r="J398" s="1128" t="str">
        <f t="shared" si="26"/>
        <v/>
      </c>
      <c r="K398" s="1069"/>
      <c r="L398" s="1069"/>
      <c r="M398" s="1129" t="str">
        <f t="shared" si="27"/>
        <v/>
      </c>
      <c r="N398" s="1069"/>
      <c r="O398" s="1069"/>
      <c r="P398" s="1129" t="str">
        <f t="shared" si="28"/>
        <v/>
      </c>
      <c r="Q398" s="1069"/>
      <c r="R398" s="1069"/>
      <c r="S398" s="1129" t="str">
        <f t="shared" si="29"/>
        <v/>
      </c>
      <c r="T398" s="1068"/>
      <c r="U398" s="1069"/>
      <c r="V398" s="1267" t="str">
        <f t="shared" si="30"/>
        <v/>
      </c>
      <c r="W398" s="1056"/>
    </row>
    <row r="399" spans="2:23" x14ac:dyDescent="0.2">
      <c r="B399" s="1078"/>
      <c r="C399" s="1079"/>
      <c r="D399" s="1078"/>
      <c r="E399" s="1104"/>
      <c r="F399" s="1104"/>
      <c r="G399" s="1066"/>
      <c r="H399" s="1069"/>
      <c r="I399" s="1069"/>
      <c r="J399" s="1128" t="str">
        <f t="shared" si="26"/>
        <v/>
      </c>
      <c r="K399" s="1069"/>
      <c r="L399" s="1069"/>
      <c r="M399" s="1129" t="str">
        <f t="shared" si="27"/>
        <v/>
      </c>
      <c r="N399" s="1069"/>
      <c r="O399" s="1069"/>
      <c r="P399" s="1129" t="str">
        <f t="shared" si="28"/>
        <v/>
      </c>
      <c r="Q399" s="1069"/>
      <c r="R399" s="1069"/>
      <c r="S399" s="1129" t="str">
        <f t="shared" si="29"/>
        <v/>
      </c>
      <c r="T399" s="1068"/>
      <c r="U399" s="1069"/>
      <c r="V399" s="1267" t="str">
        <f t="shared" si="30"/>
        <v/>
      </c>
      <c r="W399" s="1056"/>
    </row>
    <row r="400" spans="2:23" x14ac:dyDescent="0.2">
      <c r="B400" s="1078"/>
      <c r="C400" s="1079"/>
      <c r="D400" s="1078"/>
      <c r="E400" s="1087"/>
      <c r="F400" s="1087"/>
      <c r="G400" s="1066"/>
      <c r="H400" s="1069"/>
      <c r="I400" s="1069"/>
      <c r="J400" s="1128" t="str">
        <f t="shared" si="26"/>
        <v/>
      </c>
      <c r="K400" s="1069"/>
      <c r="L400" s="1069"/>
      <c r="M400" s="1129" t="str">
        <f t="shared" si="27"/>
        <v/>
      </c>
      <c r="N400" s="1069"/>
      <c r="O400" s="1069"/>
      <c r="P400" s="1129" t="str">
        <f t="shared" si="28"/>
        <v/>
      </c>
      <c r="Q400" s="1069"/>
      <c r="R400" s="1069"/>
      <c r="S400" s="1129" t="str">
        <f t="shared" si="29"/>
        <v/>
      </c>
      <c r="T400" s="1068"/>
      <c r="U400" s="1069"/>
      <c r="V400" s="1267" t="str">
        <f t="shared" si="30"/>
        <v/>
      </c>
      <c r="W400" s="1056"/>
    </row>
    <row r="401" spans="2:23" x14ac:dyDescent="0.2">
      <c r="B401" s="1078"/>
      <c r="C401" s="1079"/>
      <c r="D401" s="1078"/>
      <c r="E401" s="1087"/>
      <c r="F401" s="1087"/>
      <c r="G401" s="1066"/>
      <c r="H401" s="1069"/>
      <c r="I401" s="1069"/>
      <c r="J401" s="1128" t="str">
        <f t="shared" si="26"/>
        <v/>
      </c>
      <c r="K401" s="1069"/>
      <c r="L401" s="1069"/>
      <c r="M401" s="1129" t="str">
        <f t="shared" si="27"/>
        <v/>
      </c>
      <c r="N401" s="1069"/>
      <c r="O401" s="1069"/>
      <c r="P401" s="1129" t="str">
        <f t="shared" si="28"/>
        <v/>
      </c>
      <c r="Q401" s="1069"/>
      <c r="R401" s="1069"/>
      <c r="S401" s="1129" t="str">
        <f t="shared" si="29"/>
        <v/>
      </c>
      <c r="T401" s="1068"/>
      <c r="U401" s="1069"/>
      <c r="V401" s="1267" t="str">
        <f t="shared" si="30"/>
        <v/>
      </c>
      <c r="W401" s="1056"/>
    </row>
    <row r="402" spans="2:23" x14ac:dyDescent="0.2">
      <c r="B402" s="1078"/>
      <c r="C402" s="1079"/>
      <c r="D402" s="1078"/>
      <c r="E402" s="1087"/>
      <c r="F402" s="1087"/>
      <c r="G402" s="1066"/>
      <c r="H402" s="1069"/>
      <c r="I402" s="1069"/>
      <c r="J402" s="1128" t="str">
        <f t="shared" si="26"/>
        <v/>
      </c>
      <c r="K402" s="1069"/>
      <c r="L402" s="1069"/>
      <c r="M402" s="1129" t="str">
        <f t="shared" si="27"/>
        <v/>
      </c>
      <c r="N402" s="1069"/>
      <c r="O402" s="1069"/>
      <c r="P402" s="1129" t="str">
        <f t="shared" si="28"/>
        <v/>
      </c>
      <c r="Q402" s="1069"/>
      <c r="R402" s="1069"/>
      <c r="S402" s="1129" t="str">
        <f t="shared" si="29"/>
        <v/>
      </c>
      <c r="T402" s="1068"/>
      <c r="U402" s="1069"/>
      <c r="V402" s="1267" t="str">
        <f t="shared" si="30"/>
        <v/>
      </c>
      <c r="W402" s="1056"/>
    </row>
    <row r="403" spans="2:23" x14ac:dyDescent="0.2">
      <c r="B403" s="1078"/>
      <c r="C403" s="1079"/>
      <c r="D403" s="1078"/>
      <c r="E403" s="1087"/>
      <c r="F403" s="1087"/>
      <c r="G403" s="1066"/>
      <c r="H403" s="1069"/>
      <c r="I403" s="1069"/>
      <c r="J403" s="1128" t="str">
        <f t="shared" si="26"/>
        <v/>
      </c>
      <c r="K403" s="1069"/>
      <c r="L403" s="1069"/>
      <c r="M403" s="1129" t="str">
        <f t="shared" si="27"/>
        <v/>
      </c>
      <c r="N403" s="1069"/>
      <c r="O403" s="1069"/>
      <c r="P403" s="1129" t="str">
        <f t="shared" si="28"/>
        <v/>
      </c>
      <c r="Q403" s="1069"/>
      <c r="R403" s="1069"/>
      <c r="S403" s="1129" t="str">
        <f t="shared" si="29"/>
        <v/>
      </c>
      <c r="T403" s="1068"/>
      <c r="U403" s="1069"/>
      <c r="V403" s="1267" t="str">
        <f t="shared" si="30"/>
        <v/>
      </c>
      <c r="W403" s="1056"/>
    </row>
    <row r="404" spans="2:23" x14ac:dyDescent="0.2">
      <c r="B404" s="1078"/>
      <c r="C404" s="1079"/>
      <c r="D404" s="1078"/>
      <c r="E404" s="1087"/>
      <c r="F404" s="1087"/>
      <c r="G404" s="1066"/>
      <c r="H404" s="1069"/>
      <c r="I404" s="1069"/>
      <c r="J404" s="1128" t="str">
        <f t="shared" si="26"/>
        <v/>
      </c>
      <c r="K404" s="1069"/>
      <c r="L404" s="1069"/>
      <c r="M404" s="1129" t="str">
        <f t="shared" si="27"/>
        <v/>
      </c>
      <c r="N404" s="1069"/>
      <c r="O404" s="1069"/>
      <c r="P404" s="1129" t="str">
        <f t="shared" si="28"/>
        <v/>
      </c>
      <c r="Q404" s="1069"/>
      <c r="R404" s="1069"/>
      <c r="S404" s="1129" t="str">
        <f t="shared" si="29"/>
        <v/>
      </c>
      <c r="T404" s="1068"/>
      <c r="U404" s="1069"/>
      <c r="V404" s="1267" t="str">
        <f t="shared" si="30"/>
        <v/>
      </c>
      <c r="W404" s="1056"/>
    </row>
    <row r="405" spans="2:23" x14ac:dyDescent="0.2">
      <c r="B405" s="1078"/>
      <c r="C405" s="1079"/>
      <c r="D405" s="1078"/>
      <c r="E405" s="1087"/>
      <c r="F405" s="1087"/>
      <c r="G405" s="1066"/>
      <c r="H405" s="1069"/>
      <c r="I405" s="1069"/>
      <c r="J405" s="1128" t="str">
        <f t="shared" si="26"/>
        <v/>
      </c>
      <c r="K405" s="1069"/>
      <c r="L405" s="1069"/>
      <c r="M405" s="1129" t="str">
        <f t="shared" si="27"/>
        <v/>
      </c>
      <c r="N405" s="1069"/>
      <c r="O405" s="1069"/>
      <c r="P405" s="1129" t="str">
        <f t="shared" si="28"/>
        <v/>
      </c>
      <c r="Q405" s="1069"/>
      <c r="R405" s="1069"/>
      <c r="S405" s="1129" t="str">
        <f t="shared" si="29"/>
        <v/>
      </c>
      <c r="T405" s="1068"/>
      <c r="U405" s="1069"/>
      <c r="V405" s="1267" t="str">
        <f t="shared" si="30"/>
        <v/>
      </c>
      <c r="W405" s="1056"/>
    </row>
    <row r="406" spans="2:23" x14ac:dyDescent="0.2">
      <c r="B406" s="1078"/>
      <c r="C406" s="1079"/>
      <c r="D406" s="1078"/>
      <c r="E406" s="1087"/>
      <c r="F406" s="1087"/>
      <c r="G406" s="1066"/>
      <c r="H406" s="1069"/>
      <c r="I406" s="1069"/>
      <c r="J406" s="1128" t="str">
        <f t="shared" si="26"/>
        <v/>
      </c>
      <c r="K406" s="1069"/>
      <c r="L406" s="1069"/>
      <c r="M406" s="1129" t="str">
        <f t="shared" si="27"/>
        <v/>
      </c>
      <c r="N406" s="1069"/>
      <c r="O406" s="1069"/>
      <c r="P406" s="1129" t="str">
        <f t="shared" si="28"/>
        <v/>
      </c>
      <c r="Q406" s="1069"/>
      <c r="R406" s="1069"/>
      <c r="S406" s="1129" t="str">
        <f t="shared" si="29"/>
        <v/>
      </c>
      <c r="T406" s="1068"/>
      <c r="U406" s="1069"/>
      <c r="V406" s="1267" t="str">
        <f t="shared" si="30"/>
        <v/>
      </c>
      <c r="W406" s="1056"/>
    </row>
    <row r="407" spans="2:23" x14ac:dyDescent="0.2">
      <c r="B407" s="1078"/>
      <c r="C407" s="1079"/>
      <c r="D407" s="1078"/>
      <c r="E407" s="1105"/>
      <c r="F407" s="1105"/>
      <c r="G407" s="1066"/>
      <c r="H407" s="1069"/>
      <c r="I407" s="1069"/>
      <c r="J407" s="1128" t="str">
        <f t="shared" si="26"/>
        <v/>
      </c>
      <c r="K407" s="1069"/>
      <c r="L407" s="1069"/>
      <c r="M407" s="1129" t="str">
        <f t="shared" si="27"/>
        <v/>
      </c>
      <c r="N407" s="1069"/>
      <c r="O407" s="1069"/>
      <c r="P407" s="1129" t="str">
        <f t="shared" si="28"/>
        <v/>
      </c>
      <c r="Q407" s="1069"/>
      <c r="R407" s="1069"/>
      <c r="S407" s="1129" t="str">
        <f t="shared" si="29"/>
        <v/>
      </c>
      <c r="T407" s="1068"/>
      <c r="U407" s="1069"/>
      <c r="V407" s="1267" t="str">
        <f t="shared" si="30"/>
        <v/>
      </c>
      <c r="W407" s="1056"/>
    </row>
    <row r="408" spans="2:23" x14ac:dyDescent="0.2">
      <c r="B408" s="1078"/>
      <c r="C408" s="1079"/>
      <c r="D408" s="1078"/>
      <c r="E408" s="1087"/>
      <c r="F408" s="1087"/>
      <c r="G408" s="1066"/>
      <c r="H408" s="1069"/>
      <c r="I408" s="1069"/>
      <c r="J408" s="1128" t="str">
        <f t="shared" si="26"/>
        <v/>
      </c>
      <c r="K408" s="1069"/>
      <c r="L408" s="1069"/>
      <c r="M408" s="1129" t="str">
        <f t="shared" si="27"/>
        <v/>
      </c>
      <c r="N408" s="1069"/>
      <c r="O408" s="1069"/>
      <c r="P408" s="1129" t="str">
        <f t="shared" si="28"/>
        <v/>
      </c>
      <c r="Q408" s="1069"/>
      <c r="R408" s="1069"/>
      <c r="S408" s="1129" t="str">
        <f t="shared" si="29"/>
        <v/>
      </c>
      <c r="T408" s="1068"/>
      <c r="U408" s="1069"/>
      <c r="V408" s="1267" t="str">
        <f t="shared" si="30"/>
        <v/>
      </c>
      <c r="W408" s="1056"/>
    </row>
    <row r="409" spans="2:23" x14ac:dyDescent="0.2">
      <c r="B409" s="1078"/>
      <c r="C409" s="1079"/>
      <c r="D409" s="1078"/>
      <c r="E409" s="1103"/>
      <c r="F409" s="1103"/>
      <c r="G409" s="1066"/>
      <c r="H409" s="1069"/>
      <c r="I409" s="1069"/>
      <c r="J409" s="1128" t="str">
        <f t="shared" si="26"/>
        <v/>
      </c>
      <c r="K409" s="1069"/>
      <c r="L409" s="1069"/>
      <c r="M409" s="1129" t="str">
        <f t="shared" si="27"/>
        <v/>
      </c>
      <c r="N409" s="1069"/>
      <c r="O409" s="1069"/>
      <c r="P409" s="1129" t="str">
        <f t="shared" si="28"/>
        <v/>
      </c>
      <c r="Q409" s="1069"/>
      <c r="R409" s="1069"/>
      <c r="S409" s="1129" t="str">
        <f t="shared" si="29"/>
        <v/>
      </c>
      <c r="T409" s="1068"/>
      <c r="U409" s="1069"/>
      <c r="V409" s="1267" t="str">
        <f t="shared" si="30"/>
        <v/>
      </c>
      <c r="W409" s="1056"/>
    </row>
    <row r="410" spans="2:23" x14ac:dyDescent="0.2">
      <c r="B410" s="1078"/>
      <c r="C410" s="1079"/>
      <c r="D410" s="1078"/>
      <c r="E410" s="1087"/>
      <c r="F410" s="1087"/>
      <c r="G410" s="1066"/>
      <c r="H410" s="1069"/>
      <c r="I410" s="1069"/>
      <c r="J410" s="1128" t="str">
        <f t="shared" ref="J410:J450" si="31">IF(AND(H410=0,I410=0),"",IF(I410&lt;&gt;0,IF(I410&gt;H410,"100",I410/H410*100),0))</f>
        <v/>
      </c>
      <c r="K410" s="1069"/>
      <c r="L410" s="1069"/>
      <c r="M410" s="1129" t="str">
        <f t="shared" ref="M410:M450" si="32">IF(AND(K410=0,L410=0),"",IF(L410&lt;&gt;0,IF(L410&gt;K410,"100",L410/K410*100),0))</f>
        <v/>
      </c>
      <c r="N410" s="1069"/>
      <c r="O410" s="1069"/>
      <c r="P410" s="1129" t="str">
        <f t="shared" ref="P410:P450" si="33">IF(AND(N410=0,O410=0),"",IF(O410&lt;&gt;0,IF(O410&gt;N410,"100",O410/N410*100),0))</f>
        <v/>
      </c>
      <c r="Q410" s="1069"/>
      <c r="R410" s="1069"/>
      <c r="S410" s="1129" t="str">
        <f t="shared" ref="S410:S450" si="34">IF(AND(Q410=0,R410=0),"",IF(R410&lt;&gt;0,IF(R410&gt;Q410,"100",R410/Q410*100),0))</f>
        <v/>
      </c>
      <c r="T410" s="1068"/>
      <c r="U410" s="1069"/>
      <c r="V410" s="1267" t="str">
        <f t="shared" ref="V410:V450" si="35">IF(AND(T410=0,U410=0),"",IF(U410&lt;&gt;0,IF(U410&gt;T410,"100",U410/T410*100),0))</f>
        <v/>
      </c>
      <c r="W410" s="1056"/>
    </row>
    <row r="411" spans="2:23" x14ac:dyDescent="0.2">
      <c r="B411" s="1078"/>
      <c r="C411" s="1079"/>
      <c r="D411" s="1078"/>
      <c r="E411" s="1081"/>
      <c r="F411" s="1081"/>
      <c r="G411" s="1066"/>
      <c r="H411" s="1069"/>
      <c r="I411" s="1069"/>
      <c r="J411" s="1128" t="str">
        <f t="shared" si="31"/>
        <v/>
      </c>
      <c r="K411" s="1069"/>
      <c r="L411" s="1069"/>
      <c r="M411" s="1129" t="str">
        <f t="shared" si="32"/>
        <v/>
      </c>
      <c r="N411" s="1069"/>
      <c r="O411" s="1069"/>
      <c r="P411" s="1129" t="str">
        <f t="shared" si="33"/>
        <v/>
      </c>
      <c r="Q411" s="1069"/>
      <c r="R411" s="1069"/>
      <c r="S411" s="1129" t="str">
        <f t="shared" si="34"/>
        <v/>
      </c>
      <c r="T411" s="1068"/>
      <c r="U411" s="1069"/>
      <c r="V411" s="1267" t="str">
        <f t="shared" si="35"/>
        <v/>
      </c>
      <c r="W411" s="1056"/>
    </row>
    <row r="412" spans="2:23" x14ac:dyDescent="0.2">
      <c r="B412" s="1078"/>
      <c r="C412" s="1079"/>
      <c r="D412" s="1078"/>
      <c r="E412" s="1081"/>
      <c r="F412" s="1081"/>
      <c r="G412" s="1066"/>
      <c r="H412" s="1069"/>
      <c r="I412" s="1069"/>
      <c r="J412" s="1128" t="str">
        <f t="shared" si="31"/>
        <v/>
      </c>
      <c r="K412" s="1069"/>
      <c r="L412" s="1069"/>
      <c r="M412" s="1129" t="str">
        <f t="shared" si="32"/>
        <v/>
      </c>
      <c r="N412" s="1069"/>
      <c r="O412" s="1069"/>
      <c r="P412" s="1129" t="str">
        <f t="shared" si="33"/>
        <v/>
      </c>
      <c r="Q412" s="1069"/>
      <c r="R412" s="1069"/>
      <c r="S412" s="1129" t="str">
        <f t="shared" si="34"/>
        <v/>
      </c>
      <c r="T412" s="1068"/>
      <c r="U412" s="1069"/>
      <c r="V412" s="1267" t="str">
        <f t="shared" si="35"/>
        <v/>
      </c>
      <c r="W412" s="1056"/>
    </row>
    <row r="413" spans="2:23" x14ac:dyDescent="0.2">
      <c r="B413" s="1078"/>
      <c r="C413" s="1079"/>
      <c r="D413" s="1078"/>
      <c r="E413" s="1081"/>
      <c r="F413" s="1081"/>
      <c r="G413" s="1066"/>
      <c r="H413" s="1069"/>
      <c r="I413" s="1069"/>
      <c r="J413" s="1128" t="str">
        <f t="shared" si="31"/>
        <v/>
      </c>
      <c r="K413" s="1069"/>
      <c r="L413" s="1069"/>
      <c r="M413" s="1129" t="str">
        <f t="shared" si="32"/>
        <v/>
      </c>
      <c r="N413" s="1069"/>
      <c r="O413" s="1069"/>
      <c r="P413" s="1129" t="str">
        <f t="shared" si="33"/>
        <v/>
      </c>
      <c r="Q413" s="1069"/>
      <c r="R413" s="1069"/>
      <c r="S413" s="1129" t="str">
        <f t="shared" si="34"/>
        <v/>
      </c>
      <c r="T413" s="1068"/>
      <c r="U413" s="1069"/>
      <c r="V413" s="1267" t="str">
        <f t="shared" si="35"/>
        <v/>
      </c>
      <c r="W413" s="1056"/>
    </row>
    <row r="414" spans="2:23" x14ac:dyDescent="0.2">
      <c r="B414" s="1078"/>
      <c r="C414" s="1079"/>
      <c r="D414" s="1078"/>
      <c r="E414" s="1081"/>
      <c r="F414" s="1081"/>
      <c r="G414" s="1066"/>
      <c r="H414" s="1069"/>
      <c r="I414" s="1069"/>
      <c r="J414" s="1128" t="str">
        <f t="shared" si="31"/>
        <v/>
      </c>
      <c r="K414" s="1069"/>
      <c r="L414" s="1069"/>
      <c r="M414" s="1129" t="str">
        <f t="shared" si="32"/>
        <v/>
      </c>
      <c r="N414" s="1069"/>
      <c r="O414" s="1069"/>
      <c r="P414" s="1129" t="str">
        <f t="shared" si="33"/>
        <v/>
      </c>
      <c r="Q414" s="1069"/>
      <c r="R414" s="1069"/>
      <c r="S414" s="1129" t="str">
        <f t="shared" si="34"/>
        <v/>
      </c>
      <c r="T414" s="1068"/>
      <c r="U414" s="1069"/>
      <c r="V414" s="1267" t="str">
        <f t="shared" si="35"/>
        <v/>
      </c>
      <c r="W414" s="1056"/>
    </row>
    <row r="415" spans="2:23" x14ac:dyDescent="0.2">
      <c r="B415" s="1078"/>
      <c r="C415" s="1079"/>
      <c r="D415" s="1078"/>
      <c r="E415" s="1081"/>
      <c r="F415" s="1081"/>
      <c r="G415" s="1066"/>
      <c r="H415" s="1069"/>
      <c r="I415" s="1069"/>
      <c r="J415" s="1128" t="str">
        <f t="shared" si="31"/>
        <v/>
      </c>
      <c r="K415" s="1069"/>
      <c r="L415" s="1069"/>
      <c r="M415" s="1129" t="str">
        <f t="shared" si="32"/>
        <v/>
      </c>
      <c r="N415" s="1069"/>
      <c r="O415" s="1069"/>
      <c r="P415" s="1129" t="str">
        <f t="shared" si="33"/>
        <v/>
      </c>
      <c r="Q415" s="1069"/>
      <c r="R415" s="1069"/>
      <c r="S415" s="1129" t="str">
        <f t="shared" si="34"/>
        <v/>
      </c>
      <c r="T415" s="1068"/>
      <c r="U415" s="1069"/>
      <c r="V415" s="1267" t="str">
        <f t="shared" si="35"/>
        <v/>
      </c>
      <c r="W415" s="1056"/>
    </row>
    <row r="416" spans="2:23" x14ac:dyDescent="0.2">
      <c r="B416" s="1078"/>
      <c r="C416" s="1079"/>
      <c r="D416" s="1078"/>
      <c r="E416" s="1081"/>
      <c r="F416" s="1081"/>
      <c r="G416" s="1066"/>
      <c r="H416" s="1069"/>
      <c r="I416" s="1069"/>
      <c r="J416" s="1128" t="str">
        <f t="shared" si="31"/>
        <v/>
      </c>
      <c r="K416" s="1069"/>
      <c r="L416" s="1069"/>
      <c r="M416" s="1129" t="str">
        <f t="shared" si="32"/>
        <v/>
      </c>
      <c r="N416" s="1069"/>
      <c r="O416" s="1069"/>
      <c r="P416" s="1129" t="str">
        <f t="shared" si="33"/>
        <v/>
      </c>
      <c r="Q416" s="1069"/>
      <c r="R416" s="1069"/>
      <c r="S416" s="1129" t="str">
        <f t="shared" si="34"/>
        <v/>
      </c>
      <c r="T416" s="1068"/>
      <c r="U416" s="1069"/>
      <c r="V416" s="1267" t="str">
        <f t="shared" si="35"/>
        <v/>
      </c>
      <c r="W416" s="1056"/>
    </row>
    <row r="417" spans="2:23" x14ac:dyDescent="0.2">
      <c r="B417" s="1078"/>
      <c r="C417" s="1079"/>
      <c r="D417" s="1078"/>
      <c r="E417" s="1081"/>
      <c r="F417" s="1081"/>
      <c r="G417" s="1066"/>
      <c r="H417" s="1069"/>
      <c r="I417" s="1069"/>
      <c r="J417" s="1128" t="str">
        <f t="shared" si="31"/>
        <v/>
      </c>
      <c r="K417" s="1069"/>
      <c r="L417" s="1069"/>
      <c r="M417" s="1129" t="str">
        <f t="shared" si="32"/>
        <v/>
      </c>
      <c r="N417" s="1069"/>
      <c r="O417" s="1069"/>
      <c r="P417" s="1129" t="str">
        <f t="shared" si="33"/>
        <v/>
      </c>
      <c r="Q417" s="1069"/>
      <c r="R417" s="1069"/>
      <c r="S417" s="1129" t="str">
        <f t="shared" si="34"/>
        <v/>
      </c>
      <c r="T417" s="1068"/>
      <c r="U417" s="1069"/>
      <c r="V417" s="1267" t="str">
        <f t="shared" si="35"/>
        <v/>
      </c>
      <c r="W417" s="1056"/>
    </row>
    <row r="418" spans="2:23" x14ac:dyDescent="0.2">
      <c r="B418" s="1078"/>
      <c r="C418" s="1079"/>
      <c r="D418" s="1078"/>
      <c r="E418" s="1081"/>
      <c r="F418" s="1081"/>
      <c r="G418" s="1066"/>
      <c r="H418" s="1069"/>
      <c r="I418" s="1069"/>
      <c r="J418" s="1128" t="str">
        <f t="shared" si="31"/>
        <v/>
      </c>
      <c r="K418" s="1069"/>
      <c r="L418" s="1069"/>
      <c r="M418" s="1129" t="str">
        <f t="shared" si="32"/>
        <v/>
      </c>
      <c r="N418" s="1069"/>
      <c r="O418" s="1069"/>
      <c r="P418" s="1129" t="str">
        <f t="shared" si="33"/>
        <v/>
      </c>
      <c r="Q418" s="1069"/>
      <c r="R418" s="1069"/>
      <c r="S418" s="1129" t="str">
        <f t="shared" si="34"/>
        <v/>
      </c>
      <c r="T418" s="1068"/>
      <c r="U418" s="1069"/>
      <c r="V418" s="1267" t="str">
        <f t="shared" si="35"/>
        <v/>
      </c>
      <c r="W418" s="1056"/>
    </row>
    <row r="419" spans="2:23" x14ac:dyDescent="0.2">
      <c r="B419" s="1078"/>
      <c r="C419" s="1079"/>
      <c r="D419" s="1078"/>
      <c r="E419" s="1081"/>
      <c r="F419" s="1081"/>
      <c r="G419" s="1066"/>
      <c r="H419" s="1069"/>
      <c r="I419" s="1069"/>
      <c r="J419" s="1128" t="str">
        <f t="shared" si="31"/>
        <v/>
      </c>
      <c r="K419" s="1069"/>
      <c r="L419" s="1069"/>
      <c r="M419" s="1129" t="str">
        <f t="shared" si="32"/>
        <v/>
      </c>
      <c r="N419" s="1069"/>
      <c r="O419" s="1069"/>
      <c r="P419" s="1129" t="str">
        <f t="shared" si="33"/>
        <v/>
      </c>
      <c r="Q419" s="1069"/>
      <c r="R419" s="1069"/>
      <c r="S419" s="1129" t="str">
        <f t="shared" si="34"/>
        <v/>
      </c>
      <c r="T419" s="1068"/>
      <c r="U419" s="1069"/>
      <c r="V419" s="1267" t="str">
        <f t="shared" si="35"/>
        <v/>
      </c>
      <c r="W419" s="1056"/>
    </row>
    <row r="420" spans="2:23" x14ac:dyDescent="0.2">
      <c r="B420" s="1078"/>
      <c r="C420" s="1079"/>
      <c r="D420" s="1078"/>
      <c r="E420" s="1081"/>
      <c r="F420" s="1081"/>
      <c r="G420" s="1066"/>
      <c r="H420" s="1069"/>
      <c r="I420" s="1069"/>
      <c r="J420" s="1128" t="str">
        <f t="shared" si="31"/>
        <v/>
      </c>
      <c r="K420" s="1069"/>
      <c r="L420" s="1069"/>
      <c r="M420" s="1129" t="str">
        <f t="shared" si="32"/>
        <v/>
      </c>
      <c r="N420" s="1069"/>
      <c r="O420" s="1069"/>
      <c r="P420" s="1129" t="str">
        <f t="shared" si="33"/>
        <v/>
      </c>
      <c r="Q420" s="1069"/>
      <c r="R420" s="1069"/>
      <c r="S420" s="1129" t="str">
        <f t="shared" si="34"/>
        <v/>
      </c>
      <c r="T420" s="1068"/>
      <c r="U420" s="1069"/>
      <c r="V420" s="1267" t="str">
        <f t="shared" si="35"/>
        <v/>
      </c>
      <c r="W420" s="1056"/>
    </row>
    <row r="421" spans="2:23" x14ac:dyDescent="0.2">
      <c r="B421" s="1078"/>
      <c r="C421" s="1079"/>
      <c r="D421" s="1078"/>
      <c r="E421" s="1081"/>
      <c r="F421" s="1081"/>
      <c r="G421" s="1066"/>
      <c r="H421" s="1069"/>
      <c r="I421" s="1069"/>
      <c r="J421" s="1128" t="str">
        <f t="shared" si="31"/>
        <v/>
      </c>
      <c r="K421" s="1069"/>
      <c r="L421" s="1069"/>
      <c r="M421" s="1129" t="str">
        <f t="shared" si="32"/>
        <v/>
      </c>
      <c r="N421" s="1069"/>
      <c r="O421" s="1069"/>
      <c r="P421" s="1129" t="str">
        <f t="shared" si="33"/>
        <v/>
      </c>
      <c r="Q421" s="1069"/>
      <c r="R421" s="1069"/>
      <c r="S421" s="1129" t="str">
        <f t="shared" si="34"/>
        <v/>
      </c>
      <c r="T421" s="1068"/>
      <c r="U421" s="1069"/>
      <c r="V421" s="1267" t="str">
        <f t="shared" si="35"/>
        <v/>
      </c>
      <c r="W421" s="1056"/>
    </row>
    <row r="422" spans="2:23" x14ac:dyDescent="0.2">
      <c r="B422" s="1078"/>
      <c r="C422" s="1079"/>
      <c r="D422" s="1078"/>
      <c r="E422" s="1081"/>
      <c r="F422" s="1081"/>
      <c r="G422" s="1066"/>
      <c r="H422" s="1069"/>
      <c r="I422" s="1069"/>
      <c r="J422" s="1128" t="str">
        <f t="shared" si="31"/>
        <v/>
      </c>
      <c r="K422" s="1069"/>
      <c r="L422" s="1069"/>
      <c r="M422" s="1129" t="str">
        <f t="shared" si="32"/>
        <v/>
      </c>
      <c r="N422" s="1069"/>
      <c r="O422" s="1069"/>
      <c r="P422" s="1129" t="str">
        <f t="shared" si="33"/>
        <v/>
      </c>
      <c r="Q422" s="1069"/>
      <c r="R422" s="1069"/>
      <c r="S422" s="1129" t="str">
        <f t="shared" si="34"/>
        <v/>
      </c>
      <c r="T422" s="1068"/>
      <c r="U422" s="1069"/>
      <c r="V422" s="1267" t="str">
        <f t="shared" si="35"/>
        <v/>
      </c>
      <c r="W422" s="1056"/>
    </row>
    <row r="423" spans="2:23" x14ac:dyDescent="0.2">
      <c r="B423" s="1078"/>
      <c r="C423" s="1079"/>
      <c r="D423" s="1078"/>
      <c r="E423" s="1081"/>
      <c r="F423" s="1081"/>
      <c r="G423" s="1066"/>
      <c r="H423" s="1069"/>
      <c r="I423" s="1069"/>
      <c r="J423" s="1128" t="str">
        <f t="shared" si="31"/>
        <v/>
      </c>
      <c r="K423" s="1069"/>
      <c r="L423" s="1069"/>
      <c r="M423" s="1129" t="str">
        <f t="shared" si="32"/>
        <v/>
      </c>
      <c r="N423" s="1069"/>
      <c r="O423" s="1069"/>
      <c r="P423" s="1129" t="str">
        <f t="shared" si="33"/>
        <v/>
      </c>
      <c r="Q423" s="1069"/>
      <c r="R423" s="1069"/>
      <c r="S423" s="1129" t="str">
        <f t="shared" si="34"/>
        <v/>
      </c>
      <c r="T423" s="1068"/>
      <c r="U423" s="1069"/>
      <c r="V423" s="1267" t="str">
        <f t="shared" si="35"/>
        <v/>
      </c>
      <c r="W423" s="1056"/>
    </row>
    <row r="424" spans="2:23" x14ac:dyDescent="0.2">
      <c r="B424" s="1078"/>
      <c r="C424" s="1079"/>
      <c r="D424" s="1078"/>
      <c r="E424" s="1081"/>
      <c r="F424" s="1081"/>
      <c r="G424" s="1066"/>
      <c r="H424" s="1069"/>
      <c r="I424" s="1069"/>
      <c r="J424" s="1128" t="str">
        <f t="shared" si="31"/>
        <v/>
      </c>
      <c r="K424" s="1069"/>
      <c r="L424" s="1069"/>
      <c r="M424" s="1129" t="str">
        <f t="shared" si="32"/>
        <v/>
      </c>
      <c r="N424" s="1069"/>
      <c r="O424" s="1069"/>
      <c r="P424" s="1129" t="str">
        <f t="shared" si="33"/>
        <v/>
      </c>
      <c r="Q424" s="1069"/>
      <c r="R424" s="1069"/>
      <c r="S424" s="1129" t="str">
        <f t="shared" si="34"/>
        <v/>
      </c>
      <c r="T424" s="1068"/>
      <c r="U424" s="1069"/>
      <c r="V424" s="1267" t="str">
        <f t="shared" si="35"/>
        <v/>
      </c>
      <c r="W424" s="1056"/>
    </row>
    <row r="425" spans="2:23" x14ac:dyDescent="0.2">
      <c r="B425" s="1078"/>
      <c r="C425" s="1079"/>
      <c r="D425" s="1078"/>
      <c r="E425" s="1081"/>
      <c r="F425" s="1081"/>
      <c r="G425" s="1066"/>
      <c r="H425" s="1069"/>
      <c r="I425" s="1069"/>
      <c r="J425" s="1128" t="str">
        <f t="shared" si="31"/>
        <v/>
      </c>
      <c r="K425" s="1069"/>
      <c r="L425" s="1069"/>
      <c r="M425" s="1129" t="str">
        <f t="shared" si="32"/>
        <v/>
      </c>
      <c r="N425" s="1069"/>
      <c r="O425" s="1069"/>
      <c r="P425" s="1129" t="str">
        <f t="shared" si="33"/>
        <v/>
      </c>
      <c r="Q425" s="1069"/>
      <c r="R425" s="1069"/>
      <c r="S425" s="1129" t="str">
        <f t="shared" si="34"/>
        <v/>
      </c>
      <c r="T425" s="1068"/>
      <c r="U425" s="1069"/>
      <c r="V425" s="1267" t="str">
        <f t="shared" si="35"/>
        <v/>
      </c>
      <c r="W425" s="1056"/>
    </row>
    <row r="426" spans="2:23" x14ac:dyDescent="0.2">
      <c r="B426" s="1078"/>
      <c r="C426" s="1079"/>
      <c r="D426" s="1078"/>
      <c r="E426" s="1081"/>
      <c r="F426" s="1081"/>
      <c r="G426" s="1066"/>
      <c r="H426" s="1069"/>
      <c r="I426" s="1069"/>
      <c r="J426" s="1128" t="str">
        <f t="shared" si="31"/>
        <v/>
      </c>
      <c r="K426" s="1069"/>
      <c r="L426" s="1069"/>
      <c r="M426" s="1129" t="str">
        <f t="shared" si="32"/>
        <v/>
      </c>
      <c r="N426" s="1069"/>
      <c r="O426" s="1069"/>
      <c r="P426" s="1129" t="str">
        <f t="shared" si="33"/>
        <v/>
      </c>
      <c r="Q426" s="1069"/>
      <c r="R426" s="1069"/>
      <c r="S426" s="1129" t="str">
        <f t="shared" si="34"/>
        <v/>
      </c>
      <c r="T426" s="1068"/>
      <c r="U426" s="1069"/>
      <c r="V426" s="1267" t="str">
        <f t="shared" si="35"/>
        <v/>
      </c>
      <c r="W426" s="1056"/>
    </row>
    <row r="427" spans="2:23" x14ac:dyDescent="0.2">
      <c r="B427" s="1078"/>
      <c r="C427" s="1079"/>
      <c r="D427" s="1078"/>
      <c r="E427" s="1081"/>
      <c r="F427" s="1081"/>
      <c r="G427" s="1066"/>
      <c r="H427" s="1069"/>
      <c r="I427" s="1069"/>
      <c r="J427" s="1128" t="str">
        <f t="shared" si="31"/>
        <v/>
      </c>
      <c r="K427" s="1069"/>
      <c r="L427" s="1069"/>
      <c r="M427" s="1129" t="str">
        <f t="shared" si="32"/>
        <v/>
      </c>
      <c r="N427" s="1069"/>
      <c r="O427" s="1069"/>
      <c r="P427" s="1129" t="str">
        <f t="shared" si="33"/>
        <v/>
      </c>
      <c r="Q427" s="1069"/>
      <c r="R427" s="1069"/>
      <c r="S427" s="1129" t="str">
        <f t="shared" si="34"/>
        <v/>
      </c>
      <c r="T427" s="1068"/>
      <c r="U427" s="1069"/>
      <c r="V427" s="1267" t="str">
        <f t="shared" si="35"/>
        <v/>
      </c>
      <c r="W427" s="1056"/>
    </row>
    <row r="428" spans="2:23" x14ac:dyDescent="0.2">
      <c r="B428" s="1078"/>
      <c r="C428" s="1079"/>
      <c r="D428" s="1078"/>
      <c r="E428" s="1081"/>
      <c r="F428" s="1081"/>
      <c r="G428" s="1066"/>
      <c r="H428" s="1069"/>
      <c r="I428" s="1069"/>
      <c r="J428" s="1128" t="str">
        <f t="shared" si="31"/>
        <v/>
      </c>
      <c r="K428" s="1069"/>
      <c r="L428" s="1069"/>
      <c r="M428" s="1129" t="str">
        <f t="shared" si="32"/>
        <v/>
      </c>
      <c r="N428" s="1069"/>
      <c r="O428" s="1069"/>
      <c r="P428" s="1129" t="str">
        <f t="shared" si="33"/>
        <v/>
      </c>
      <c r="Q428" s="1069"/>
      <c r="R428" s="1069"/>
      <c r="S428" s="1129" t="str">
        <f t="shared" si="34"/>
        <v/>
      </c>
      <c r="T428" s="1068"/>
      <c r="U428" s="1069"/>
      <c r="V428" s="1267" t="str">
        <f t="shared" si="35"/>
        <v/>
      </c>
      <c r="W428" s="1056"/>
    </row>
    <row r="429" spans="2:23" x14ac:dyDescent="0.2">
      <c r="B429" s="1078"/>
      <c r="C429" s="1079"/>
      <c r="D429" s="1078"/>
      <c r="E429" s="1081"/>
      <c r="F429" s="1081"/>
      <c r="G429" s="1066"/>
      <c r="H429" s="1069"/>
      <c r="I429" s="1069"/>
      <c r="J429" s="1128" t="str">
        <f t="shared" si="31"/>
        <v/>
      </c>
      <c r="K429" s="1069"/>
      <c r="L429" s="1069"/>
      <c r="M429" s="1129" t="str">
        <f t="shared" si="32"/>
        <v/>
      </c>
      <c r="N429" s="1069"/>
      <c r="O429" s="1069"/>
      <c r="P429" s="1129" t="str">
        <f t="shared" si="33"/>
        <v/>
      </c>
      <c r="Q429" s="1069"/>
      <c r="R429" s="1069"/>
      <c r="S429" s="1129" t="str">
        <f t="shared" si="34"/>
        <v/>
      </c>
      <c r="T429" s="1068"/>
      <c r="U429" s="1069"/>
      <c r="V429" s="1267" t="str">
        <f t="shared" si="35"/>
        <v/>
      </c>
      <c r="W429" s="1056"/>
    </row>
    <row r="430" spans="2:23" x14ac:dyDescent="0.2">
      <c r="B430" s="1078"/>
      <c r="C430" s="1079"/>
      <c r="D430" s="1078"/>
      <c r="E430" s="1081"/>
      <c r="F430" s="1081"/>
      <c r="G430" s="1066"/>
      <c r="H430" s="1069"/>
      <c r="I430" s="1069"/>
      <c r="J430" s="1128" t="str">
        <f t="shared" si="31"/>
        <v/>
      </c>
      <c r="K430" s="1069"/>
      <c r="L430" s="1069"/>
      <c r="M430" s="1129" t="str">
        <f t="shared" si="32"/>
        <v/>
      </c>
      <c r="N430" s="1069"/>
      <c r="O430" s="1069"/>
      <c r="P430" s="1129" t="str">
        <f t="shared" si="33"/>
        <v/>
      </c>
      <c r="Q430" s="1069"/>
      <c r="R430" s="1069"/>
      <c r="S430" s="1129" t="str">
        <f t="shared" si="34"/>
        <v/>
      </c>
      <c r="T430" s="1068"/>
      <c r="U430" s="1069"/>
      <c r="V430" s="1267" t="str">
        <f t="shared" si="35"/>
        <v/>
      </c>
      <c r="W430" s="1056"/>
    </row>
    <row r="431" spans="2:23" x14ac:dyDescent="0.2">
      <c r="B431" s="1078"/>
      <c r="C431" s="1079"/>
      <c r="D431" s="1078"/>
      <c r="E431" s="1081"/>
      <c r="F431" s="1081"/>
      <c r="G431" s="1066"/>
      <c r="H431" s="1069"/>
      <c r="I431" s="1069"/>
      <c r="J431" s="1128" t="str">
        <f t="shared" si="31"/>
        <v/>
      </c>
      <c r="K431" s="1069"/>
      <c r="L431" s="1069"/>
      <c r="M431" s="1129" t="str">
        <f t="shared" si="32"/>
        <v/>
      </c>
      <c r="N431" s="1069"/>
      <c r="O431" s="1069"/>
      <c r="P431" s="1129" t="str">
        <f t="shared" si="33"/>
        <v/>
      </c>
      <c r="Q431" s="1069"/>
      <c r="R431" s="1069"/>
      <c r="S431" s="1129" t="str">
        <f t="shared" si="34"/>
        <v/>
      </c>
      <c r="T431" s="1068"/>
      <c r="U431" s="1069"/>
      <c r="V431" s="1267" t="str">
        <f t="shared" si="35"/>
        <v/>
      </c>
      <c r="W431" s="1056"/>
    </row>
    <row r="432" spans="2:23" x14ac:dyDescent="0.2">
      <c r="B432" s="1078"/>
      <c r="C432" s="1079"/>
      <c r="D432" s="1078"/>
      <c r="E432" s="1081"/>
      <c r="F432" s="1081"/>
      <c r="G432" s="1066"/>
      <c r="H432" s="1069"/>
      <c r="I432" s="1069"/>
      <c r="J432" s="1128" t="str">
        <f t="shared" si="31"/>
        <v/>
      </c>
      <c r="K432" s="1069"/>
      <c r="L432" s="1069"/>
      <c r="M432" s="1129" t="str">
        <f t="shared" si="32"/>
        <v/>
      </c>
      <c r="N432" s="1069"/>
      <c r="O432" s="1069"/>
      <c r="P432" s="1129" t="str">
        <f t="shared" si="33"/>
        <v/>
      </c>
      <c r="Q432" s="1069"/>
      <c r="R432" s="1069"/>
      <c r="S432" s="1129" t="str">
        <f t="shared" si="34"/>
        <v/>
      </c>
      <c r="T432" s="1068"/>
      <c r="U432" s="1069"/>
      <c r="V432" s="1267" t="str">
        <f t="shared" si="35"/>
        <v/>
      </c>
      <c r="W432" s="1056"/>
    </row>
    <row r="433" spans="2:23" x14ac:dyDescent="0.2">
      <c r="B433" s="1078"/>
      <c r="C433" s="1079"/>
      <c r="D433" s="1078"/>
      <c r="E433" s="1081"/>
      <c r="F433" s="1081"/>
      <c r="G433" s="1066"/>
      <c r="H433" s="1069"/>
      <c r="I433" s="1069"/>
      <c r="J433" s="1128" t="str">
        <f t="shared" si="31"/>
        <v/>
      </c>
      <c r="K433" s="1069"/>
      <c r="L433" s="1069"/>
      <c r="M433" s="1129" t="str">
        <f t="shared" si="32"/>
        <v/>
      </c>
      <c r="N433" s="1069"/>
      <c r="O433" s="1069"/>
      <c r="P433" s="1129" t="str">
        <f t="shared" si="33"/>
        <v/>
      </c>
      <c r="Q433" s="1069"/>
      <c r="R433" s="1069"/>
      <c r="S433" s="1129" t="str">
        <f t="shared" si="34"/>
        <v/>
      </c>
      <c r="T433" s="1068"/>
      <c r="U433" s="1069"/>
      <c r="V433" s="1267" t="str">
        <f t="shared" si="35"/>
        <v/>
      </c>
      <c r="W433" s="1056"/>
    </row>
    <row r="434" spans="2:23" x14ac:dyDescent="0.2">
      <c r="B434" s="1078"/>
      <c r="C434" s="1079"/>
      <c r="D434" s="1078"/>
      <c r="E434" s="1081"/>
      <c r="F434" s="1081"/>
      <c r="G434" s="1066"/>
      <c r="H434" s="1069"/>
      <c r="I434" s="1069"/>
      <c r="J434" s="1128" t="str">
        <f t="shared" si="31"/>
        <v/>
      </c>
      <c r="K434" s="1069"/>
      <c r="L434" s="1069"/>
      <c r="M434" s="1129" t="str">
        <f t="shared" si="32"/>
        <v/>
      </c>
      <c r="N434" s="1069"/>
      <c r="O434" s="1069"/>
      <c r="P434" s="1129" t="str">
        <f t="shared" si="33"/>
        <v/>
      </c>
      <c r="Q434" s="1069"/>
      <c r="R434" s="1069"/>
      <c r="S434" s="1129" t="str">
        <f t="shared" si="34"/>
        <v/>
      </c>
      <c r="T434" s="1068"/>
      <c r="U434" s="1069"/>
      <c r="V434" s="1267" t="str">
        <f t="shared" si="35"/>
        <v/>
      </c>
      <c r="W434" s="1056"/>
    </row>
    <row r="435" spans="2:23" x14ac:dyDescent="0.2">
      <c r="B435" s="1078"/>
      <c r="C435" s="1079"/>
      <c r="D435" s="1078"/>
      <c r="E435" s="1081"/>
      <c r="F435" s="1081"/>
      <c r="G435" s="1066"/>
      <c r="H435" s="1069"/>
      <c r="I435" s="1069"/>
      <c r="J435" s="1128" t="str">
        <f t="shared" si="31"/>
        <v/>
      </c>
      <c r="K435" s="1069"/>
      <c r="L435" s="1069"/>
      <c r="M435" s="1129" t="str">
        <f t="shared" si="32"/>
        <v/>
      </c>
      <c r="N435" s="1069"/>
      <c r="O435" s="1069"/>
      <c r="P435" s="1129" t="str">
        <f t="shared" si="33"/>
        <v/>
      </c>
      <c r="Q435" s="1069"/>
      <c r="R435" s="1069"/>
      <c r="S435" s="1129" t="str">
        <f t="shared" si="34"/>
        <v/>
      </c>
      <c r="T435" s="1068"/>
      <c r="U435" s="1069"/>
      <c r="V435" s="1267" t="str">
        <f t="shared" si="35"/>
        <v/>
      </c>
      <c r="W435" s="1056"/>
    </row>
    <row r="436" spans="2:23" x14ac:dyDescent="0.2">
      <c r="B436" s="1078"/>
      <c r="C436" s="1079"/>
      <c r="D436" s="1078"/>
      <c r="E436" s="1081"/>
      <c r="F436" s="1081"/>
      <c r="G436" s="1066"/>
      <c r="H436" s="1069"/>
      <c r="I436" s="1069"/>
      <c r="J436" s="1128" t="str">
        <f t="shared" si="31"/>
        <v/>
      </c>
      <c r="K436" s="1069"/>
      <c r="L436" s="1069"/>
      <c r="M436" s="1129" t="str">
        <f t="shared" si="32"/>
        <v/>
      </c>
      <c r="N436" s="1069"/>
      <c r="O436" s="1069"/>
      <c r="P436" s="1129" t="str">
        <f t="shared" si="33"/>
        <v/>
      </c>
      <c r="Q436" s="1069"/>
      <c r="R436" s="1069"/>
      <c r="S436" s="1129" t="str">
        <f t="shared" si="34"/>
        <v/>
      </c>
      <c r="T436" s="1068"/>
      <c r="U436" s="1069"/>
      <c r="V436" s="1267" t="str">
        <f t="shared" si="35"/>
        <v/>
      </c>
      <c r="W436" s="1056"/>
    </row>
    <row r="437" spans="2:23" x14ac:dyDescent="0.2">
      <c r="B437" s="1078"/>
      <c r="C437" s="1079"/>
      <c r="D437" s="1078"/>
      <c r="E437" s="1081"/>
      <c r="F437" s="1081"/>
      <c r="G437" s="1066"/>
      <c r="H437" s="1069"/>
      <c r="I437" s="1069"/>
      <c r="J437" s="1128" t="str">
        <f t="shared" si="31"/>
        <v/>
      </c>
      <c r="K437" s="1069"/>
      <c r="L437" s="1069"/>
      <c r="M437" s="1129" t="str">
        <f t="shared" si="32"/>
        <v/>
      </c>
      <c r="N437" s="1069"/>
      <c r="O437" s="1069"/>
      <c r="P437" s="1129" t="str">
        <f t="shared" si="33"/>
        <v/>
      </c>
      <c r="Q437" s="1069"/>
      <c r="R437" s="1069"/>
      <c r="S437" s="1129" t="str">
        <f t="shared" si="34"/>
        <v/>
      </c>
      <c r="T437" s="1068"/>
      <c r="U437" s="1069"/>
      <c r="V437" s="1267" t="str">
        <f t="shared" si="35"/>
        <v/>
      </c>
      <c r="W437" s="1056"/>
    </row>
    <row r="438" spans="2:23" x14ac:dyDescent="0.2">
      <c r="B438" s="1078"/>
      <c r="C438" s="1079"/>
      <c r="D438" s="1078"/>
      <c r="E438" s="1081"/>
      <c r="F438" s="1081"/>
      <c r="G438" s="1066"/>
      <c r="H438" s="1069"/>
      <c r="I438" s="1069"/>
      <c r="J438" s="1128" t="str">
        <f t="shared" si="31"/>
        <v/>
      </c>
      <c r="K438" s="1069"/>
      <c r="L438" s="1069"/>
      <c r="M438" s="1129" t="str">
        <f t="shared" si="32"/>
        <v/>
      </c>
      <c r="N438" s="1069"/>
      <c r="O438" s="1069"/>
      <c r="P438" s="1129" t="str">
        <f t="shared" si="33"/>
        <v/>
      </c>
      <c r="Q438" s="1069"/>
      <c r="R438" s="1069"/>
      <c r="S438" s="1129" t="str">
        <f t="shared" si="34"/>
        <v/>
      </c>
      <c r="T438" s="1068"/>
      <c r="U438" s="1069"/>
      <c r="V438" s="1267" t="str">
        <f t="shared" si="35"/>
        <v/>
      </c>
      <c r="W438" s="1056"/>
    </row>
    <row r="439" spans="2:23" x14ac:dyDescent="0.2">
      <c r="B439" s="1078"/>
      <c r="C439" s="1079"/>
      <c r="D439" s="1078"/>
      <c r="E439" s="1081"/>
      <c r="F439" s="1081"/>
      <c r="G439" s="1066"/>
      <c r="H439" s="1069"/>
      <c r="I439" s="1069"/>
      <c r="J439" s="1128" t="str">
        <f t="shared" si="31"/>
        <v/>
      </c>
      <c r="K439" s="1069"/>
      <c r="L439" s="1069"/>
      <c r="M439" s="1129" t="str">
        <f t="shared" si="32"/>
        <v/>
      </c>
      <c r="N439" s="1069"/>
      <c r="O439" s="1069"/>
      <c r="P439" s="1129" t="str">
        <f t="shared" si="33"/>
        <v/>
      </c>
      <c r="Q439" s="1069"/>
      <c r="R439" s="1069"/>
      <c r="S439" s="1129" t="str">
        <f t="shared" si="34"/>
        <v/>
      </c>
      <c r="T439" s="1068"/>
      <c r="U439" s="1069"/>
      <c r="V439" s="1267" t="str">
        <f t="shared" si="35"/>
        <v/>
      </c>
      <c r="W439" s="1056"/>
    </row>
    <row r="440" spans="2:23" x14ac:dyDescent="0.2">
      <c r="B440" s="1078"/>
      <c r="C440" s="1079"/>
      <c r="D440" s="1078"/>
      <c r="E440" s="1081"/>
      <c r="F440" s="1081"/>
      <c r="G440" s="1066"/>
      <c r="H440" s="1069"/>
      <c r="I440" s="1069"/>
      <c r="J440" s="1128" t="str">
        <f t="shared" si="31"/>
        <v/>
      </c>
      <c r="K440" s="1069"/>
      <c r="L440" s="1069"/>
      <c r="M440" s="1129" t="str">
        <f t="shared" si="32"/>
        <v/>
      </c>
      <c r="N440" s="1069"/>
      <c r="O440" s="1069"/>
      <c r="P440" s="1129" t="str">
        <f t="shared" si="33"/>
        <v/>
      </c>
      <c r="Q440" s="1069"/>
      <c r="R440" s="1069"/>
      <c r="S440" s="1129" t="str">
        <f t="shared" si="34"/>
        <v/>
      </c>
      <c r="T440" s="1068"/>
      <c r="U440" s="1069"/>
      <c r="V440" s="1267" t="str">
        <f t="shared" si="35"/>
        <v/>
      </c>
      <c r="W440" s="1056"/>
    </row>
    <row r="441" spans="2:23" x14ac:dyDescent="0.2">
      <c r="B441" s="1078"/>
      <c r="C441" s="1079"/>
      <c r="D441" s="1078"/>
      <c r="E441" s="1081"/>
      <c r="F441" s="1081"/>
      <c r="G441" s="1066"/>
      <c r="H441" s="1069"/>
      <c r="I441" s="1069"/>
      <c r="J441" s="1128" t="str">
        <f t="shared" si="31"/>
        <v/>
      </c>
      <c r="K441" s="1069"/>
      <c r="L441" s="1069"/>
      <c r="M441" s="1129" t="str">
        <f t="shared" si="32"/>
        <v/>
      </c>
      <c r="N441" s="1069"/>
      <c r="O441" s="1069"/>
      <c r="P441" s="1129" t="str">
        <f t="shared" si="33"/>
        <v/>
      </c>
      <c r="Q441" s="1069"/>
      <c r="R441" s="1069"/>
      <c r="S441" s="1129" t="str">
        <f t="shared" si="34"/>
        <v/>
      </c>
      <c r="T441" s="1068"/>
      <c r="U441" s="1069"/>
      <c r="V441" s="1267" t="str">
        <f t="shared" si="35"/>
        <v/>
      </c>
      <c r="W441" s="1056"/>
    </row>
    <row r="442" spans="2:23" x14ac:dyDescent="0.2">
      <c r="B442" s="1078"/>
      <c r="C442" s="1079"/>
      <c r="D442" s="1078"/>
      <c r="E442" s="1081"/>
      <c r="F442" s="1081"/>
      <c r="G442" s="1066"/>
      <c r="H442" s="1069"/>
      <c r="I442" s="1069"/>
      <c r="J442" s="1128" t="str">
        <f t="shared" si="31"/>
        <v/>
      </c>
      <c r="K442" s="1069"/>
      <c r="L442" s="1069"/>
      <c r="M442" s="1129" t="str">
        <f t="shared" si="32"/>
        <v/>
      </c>
      <c r="N442" s="1069"/>
      <c r="O442" s="1069"/>
      <c r="P442" s="1129" t="str">
        <f t="shared" si="33"/>
        <v/>
      </c>
      <c r="Q442" s="1069"/>
      <c r="R442" s="1069"/>
      <c r="S442" s="1129" t="str">
        <f t="shared" si="34"/>
        <v/>
      </c>
      <c r="T442" s="1068"/>
      <c r="U442" s="1069"/>
      <c r="V442" s="1267" t="str">
        <f t="shared" si="35"/>
        <v/>
      </c>
      <c r="W442" s="1056"/>
    </row>
    <row r="443" spans="2:23" x14ac:dyDescent="0.2">
      <c r="B443" s="1078"/>
      <c r="C443" s="1079"/>
      <c r="D443" s="1078"/>
      <c r="E443" s="1081"/>
      <c r="F443" s="1081"/>
      <c r="G443" s="1066"/>
      <c r="H443" s="1069"/>
      <c r="I443" s="1069"/>
      <c r="J443" s="1128" t="str">
        <f t="shared" si="31"/>
        <v/>
      </c>
      <c r="K443" s="1069"/>
      <c r="L443" s="1069"/>
      <c r="M443" s="1129" t="str">
        <f t="shared" si="32"/>
        <v/>
      </c>
      <c r="N443" s="1069"/>
      <c r="O443" s="1069"/>
      <c r="P443" s="1129" t="str">
        <f t="shared" si="33"/>
        <v/>
      </c>
      <c r="Q443" s="1069"/>
      <c r="R443" s="1069"/>
      <c r="S443" s="1129" t="str">
        <f t="shared" si="34"/>
        <v/>
      </c>
      <c r="T443" s="1068"/>
      <c r="U443" s="1069"/>
      <c r="V443" s="1267" t="str">
        <f t="shared" si="35"/>
        <v/>
      </c>
      <c r="W443" s="1056"/>
    </row>
    <row r="444" spans="2:23" x14ac:dyDescent="0.2">
      <c r="B444" s="1078"/>
      <c r="C444" s="1079"/>
      <c r="D444" s="1078"/>
      <c r="E444" s="1081"/>
      <c r="F444" s="1081"/>
      <c r="G444" s="1066"/>
      <c r="H444" s="1069"/>
      <c r="I444" s="1069"/>
      <c r="J444" s="1128" t="str">
        <f t="shared" si="31"/>
        <v/>
      </c>
      <c r="K444" s="1069"/>
      <c r="L444" s="1069"/>
      <c r="M444" s="1129" t="str">
        <f t="shared" si="32"/>
        <v/>
      </c>
      <c r="N444" s="1069"/>
      <c r="O444" s="1069"/>
      <c r="P444" s="1129" t="str">
        <f t="shared" si="33"/>
        <v/>
      </c>
      <c r="Q444" s="1069"/>
      <c r="R444" s="1069"/>
      <c r="S444" s="1129" t="str">
        <f t="shared" si="34"/>
        <v/>
      </c>
      <c r="T444" s="1068"/>
      <c r="U444" s="1069"/>
      <c r="V444" s="1267" t="str">
        <f t="shared" si="35"/>
        <v/>
      </c>
      <c r="W444" s="1056"/>
    </row>
    <row r="445" spans="2:23" x14ac:dyDescent="0.2">
      <c r="B445" s="1078"/>
      <c r="C445" s="1079"/>
      <c r="D445" s="1078"/>
      <c r="E445" s="1081"/>
      <c r="F445" s="1081"/>
      <c r="G445" s="1066"/>
      <c r="H445" s="1069"/>
      <c r="I445" s="1069"/>
      <c r="J445" s="1128" t="str">
        <f t="shared" si="31"/>
        <v/>
      </c>
      <c r="K445" s="1069"/>
      <c r="L445" s="1069"/>
      <c r="M445" s="1129" t="str">
        <f t="shared" si="32"/>
        <v/>
      </c>
      <c r="N445" s="1069"/>
      <c r="O445" s="1069"/>
      <c r="P445" s="1129" t="str">
        <f t="shared" si="33"/>
        <v/>
      </c>
      <c r="Q445" s="1069"/>
      <c r="R445" s="1069"/>
      <c r="S445" s="1129" t="str">
        <f t="shared" si="34"/>
        <v/>
      </c>
      <c r="T445" s="1068"/>
      <c r="U445" s="1069"/>
      <c r="V445" s="1267" t="str">
        <f t="shared" si="35"/>
        <v/>
      </c>
      <c r="W445" s="1056"/>
    </row>
    <row r="446" spans="2:23" x14ac:dyDescent="0.2">
      <c r="B446" s="1078"/>
      <c r="C446" s="1079"/>
      <c r="D446" s="1078"/>
      <c r="E446" s="1081"/>
      <c r="F446" s="1081"/>
      <c r="G446" s="1066"/>
      <c r="H446" s="1069"/>
      <c r="I446" s="1069"/>
      <c r="J446" s="1128" t="str">
        <f t="shared" si="31"/>
        <v/>
      </c>
      <c r="K446" s="1069"/>
      <c r="L446" s="1069"/>
      <c r="M446" s="1129" t="str">
        <f t="shared" si="32"/>
        <v/>
      </c>
      <c r="N446" s="1069"/>
      <c r="O446" s="1069"/>
      <c r="P446" s="1129" t="str">
        <f t="shared" si="33"/>
        <v/>
      </c>
      <c r="Q446" s="1069"/>
      <c r="R446" s="1069"/>
      <c r="S446" s="1129" t="str">
        <f t="shared" si="34"/>
        <v/>
      </c>
      <c r="T446" s="1068"/>
      <c r="U446" s="1069"/>
      <c r="V446" s="1267" t="str">
        <f t="shared" si="35"/>
        <v/>
      </c>
      <c r="W446" s="1056"/>
    </row>
    <row r="447" spans="2:23" x14ac:dyDescent="0.2">
      <c r="B447" s="1078"/>
      <c r="C447" s="1079"/>
      <c r="D447" s="1078"/>
      <c r="E447" s="1081"/>
      <c r="F447" s="1081"/>
      <c r="G447" s="1066"/>
      <c r="H447" s="1069"/>
      <c r="I447" s="1069"/>
      <c r="J447" s="1128" t="str">
        <f t="shared" si="31"/>
        <v/>
      </c>
      <c r="K447" s="1069"/>
      <c r="L447" s="1069"/>
      <c r="M447" s="1129" t="str">
        <f t="shared" si="32"/>
        <v/>
      </c>
      <c r="N447" s="1069"/>
      <c r="O447" s="1069"/>
      <c r="P447" s="1129" t="str">
        <f t="shared" si="33"/>
        <v/>
      </c>
      <c r="Q447" s="1069"/>
      <c r="R447" s="1069"/>
      <c r="S447" s="1129" t="str">
        <f t="shared" si="34"/>
        <v/>
      </c>
      <c r="T447" s="1068"/>
      <c r="U447" s="1069"/>
      <c r="V447" s="1267" t="str">
        <f t="shared" si="35"/>
        <v/>
      </c>
      <c r="W447" s="1056"/>
    </row>
    <row r="448" spans="2:23" x14ac:dyDescent="0.2">
      <c r="B448" s="1078"/>
      <c r="C448" s="1079"/>
      <c r="D448" s="1078"/>
      <c r="E448" s="1081"/>
      <c r="F448" s="1081"/>
      <c r="G448" s="1066"/>
      <c r="H448" s="1069"/>
      <c r="I448" s="1069"/>
      <c r="J448" s="1128" t="str">
        <f t="shared" si="31"/>
        <v/>
      </c>
      <c r="K448" s="1069"/>
      <c r="L448" s="1069"/>
      <c r="M448" s="1129" t="str">
        <f t="shared" si="32"/>
        <v/>
      </c>
      <c r="N448" s="1069"/>
      <c r="O448" s="1069"/>
      <c r="P448" s="1129" t="str">
        <f t="shared" si="33"/>
        <v/>
      </c>
      <c r="Q448" s="1069"/>
      <c r="R448" s="1069"/>
      <c r="S448" s="1129" t="str">
        <f t="shared" si="34"/>
        <v/>
      </c>
      <c r="T448" s="1068"/>
      <c r="U448" s="1069"/>
      <c r="V448" s="1267" t="str">
        <f t="shared" si="35"/>
        <v/>
      </c>
      <c r="W448" s="1056"/>
    </row>
    <row r="449" spans="2:23" x14ac:dyDescent="0.2">
      <c r="B449" s="1078"/>
      <c r="C449" s="1079"/>
      <c r="D449" s="1078"/>
      <c r="E449" s="1081"/>
      <c r="F449" s="1081"/>
      <c r="G449" s="1066"/>
      <c r="H449" s="1069"/>
      <c r="I449" s="1069"/>
      <c r="J449" s="1128" t="str">
        <f t="shared" si="31"/>
        <v/>
      </c>
      <c r="K449" s="1069"/>
      <c r="L449" s="1069"/>
      <c r="M449" s="1129" t="str">
        <f t="shared" si="32"/>
        <v/>
      </c>
      <c r="N449" s="1069"/>
      <c r="O449" s="1069"/>
      <c r="P449" s="1129" t="str">
        <f t="shared" si="33"/>
        <v/>
      </c>
      <c r="Q449" s="1069"/>
      <c r="R449" s="1069"/>
      <c r="S449" s="1129" t="str">
        <f t="shared" si="34"/>
        <v/>
      </c>
      <c r="T449" s="1068"/>
      <c r="U449" s="1069"/>
      <c r="V449" s="1267" t="str">
        <f t="shared" si="35"/>
        <v/>
      </c>
      <c r="W449" s="1056"/>
    </row>
    <row r="450" spans="2:23" x14ac:dyDescent="0.2">
      <c r="B450" s="1106"/>
      <c r="C450" s="1107"/>
      <c r="D450" s="1106"/>
      <c r="E450" s="1081"/>
      <c r="F450" s="1081"/>
      <c r="G450" s="1066"/>
      <c r="H450" s="1069"/>
      <c r="I450" s="1069"/>
      <c r="J450" s="1128" t="str">
        <f t="shared" si="31"/>
        <v/>
      </c>
      <c r="K450" s="1069"/>
      <c r="L450" s="1069"/>
      <c r="M450" s="1129" t="str">
        <f t="shared" si="32"/>
        <v/>
      </c>
      <c r="N450" s="1069"/>
      <c r="O450" s="1069"/>
      <c r="P450" s="1129" t="str">
        <f t="shared" si="33"/>
        <v/>
      </c>
      <c r="Q450" s="1069"/>
      <c r="R450" s="1069"/>
      <c r="S450" s="1129" t="str">
        <f t="shared" si="34"/>
        <v/>
      </c>
      <c r="T450" s="1068"/>
      <c r="U450" s="1069"/>
      <c r="V450" s="1267" t="str">
        <f t="shared" si="35"/>
        <v/>
      </c>
      <c r="W450" s="1056"/>
    </row>
    <row r="451" spans="2:23" x14ac:dyDescent="0.2">
      <c r="B451" s="1108"/>
      <c r="C451" s="1108"/>
      <c r="D451" s="1108"/>
      <c r="J451" s="1109"/>
      <c r="K451" s="1110"/>
      <c r="M451" s="1112"/>
      <c r="N451" s="1110"/>
      <c r="P451" s="1112"/>
      <c r="S451" s="1112"/>
      <c r="T451" s="1110"/>
      <c r="V451" s="1113"/>
      <c r="W451" s="1056"/>
    </row>
    <row r="452" spans="2:23" x14ac:dyDescent="0.2">
      <c r="B452" s="1108"/>
      <c r="C452" s="1108"/>
      <c r="D452" s="1108"/>
    </row>
    <row r="453" spans="2:23" x14ac:dyDescent="0.2">
      <c r="B453" s="1850" t="s">
        <v>464</v>
      </c>
      <c r="C453" s="1851"/>
      <c r="D453" s="1115" t="s">
        <v>856</v>
      </c>
      <c r="E453" s="1115" t="s">
        <v>857</v>
      </c>
      <c r="F453" s="1116"/>
      <c r="G453" s="1116"/>
      <c r="H453" s="1116"/>
    </row>
    <row r="454" spans="2:23" x14ac:dyDescent="0.2">
      <c r="B454" s="1830" t="str">
        <f>+'[2]1. RIESGOS Y CONTROLES'!A167</f>
        <v>Carmen Beatriz Moncada</v>
      </c>
      <c r="C454" s="1831"/>
      <c r="D454" s="1117" t="str">
        <f>+'[2]1. RIESGOS Y CONTROLES'!B167</f>
        <v>Supervisor</v>
      </c>
      <c r="E454" s="1118" t="e">
        <v>#REF!</v>
      </c>
      <c r="F454" s="1119"/>
      <c r="G454" s="1119"/>
      <c r="H454" s="1119"/>
    </row>
    <row r="455" spans="2:23" x14ac:dyDescent="0.2">
      <c r="B455" s="1830" t="str">
        <f>+'[2]1. RIESGOS Y CONTROLES'!A168</f>
        <v>Lorena Alarcón Martínez</v>
      </c>
      <c r="C455" s="1831"/>
      <c r="D455" s="1117" t="str">
        <f>+'[2]1. RIESGOS Y CONTROLES'!B168</f>
        <v>Líder</v>
      </c>
      <c r="E455" s="1118" t="e">
        <v>#REF!</v>
      </c>
      <c r="F455" s="1119"/>
      <c r="G455" s="1119"/>
      <c r="H455" s="1119"/>
    </row>
    <row r="456" spans="2:23" x14ac:dyDescent="0.2">
      <c r="B456" s="1830" t="str">
        <f>+'[2]1. RIESGOS Y CONTROLES'!A169</f>
        <v>Julian Alberto Rodas</v>
      </c>
      <c r="C456" s="1831"/>
      <c r="D456" s="1117" t="str">
        <f>+'[2]1. RIESGOS Y CONTROLES'!B169</f>
        <v>Auditor</v>
      </c>
      <c r="E456" s="1118" t="e">
        <v>#REF!</v>
      </c>
      <c r="F456" s="1119"/>
      <c r="G456" s="1119"/>
      <c r="H456" s="1119"/>
    </row>
    <row r="457" spans="2:23" x14ac:dyDescent="0.2">
      <c r="B457" s="1830" t="str">
        <f>+'[2]1. RIESGOS Y CONTROLES'!A170</f>
        <v>d</v>
      </c>
      <c r="C457" s="1831"/>
      <c r="D457" s="1117" t="str">
        <f>+'[2]1. RIESGOS Y CONTROLES'!B170</f>
        <v>z</v>
      </c>
      <c r="E457" s="1118" t="e">
        <v>#REF!</v>
      </c>
      <c r="F457" s="1119"/>
      <c r="G457" s="1119"/>
      <c r="H457" s="1119"/>
    </row>
    <row r="458" spans="2:23" x14ac:dyDescent="0.2">
      <c r="B458" s="1830" t="str">
        <f>+'[2]1. RIESGOS Y CONTROLES'!A171</f>
        <v>d</v>
      </c>
      <c r="C458" s="1831"/>
      <c r="D458" s="1117" t="str">
        <f>+'[2]1. RIESGOS Y CONTROLES'!B171</f>
        <v>z</v>
      </c>
      <c r="E458" s="1118" t="e">
        <v>#REF!</v>
      </c>
      <c r="F458" s="1119"/>
      <c r="G458" s="1119"/>
      <c r="H458" s="1119"/>
    </row>
    <row r="459" spans="2:23" x14ac:dyDescent="0.2">
      <c r="B459" s="1830" t="str">
        <f>+'[2]1. RIESGOS Y CONTROLES'!A172</f>
        <v>d</v>
      </c>
      <c r="C459" s="1831"/>
      <c r="D459" s="1117" t="str">
        <f>+'[2]1. RIESGOS Y CONTROLES'!B172</f>
        <v>z</v>
      </c>
      <c r="E459" s="1118" t="e">
        <v>#REF!</v>
      </c>
      <c r="F459" s="1119"/>
      <c r="G459" s="1119"/>
      <c r="H459" s="1119"/>
    </row>
    <row r="460" spans="2:23" x14ac:dyDescent="0.2">
      <c r="B460" s="1830" t="str">
        <f>+'[2]1. RIESGOS Y CONTROLES'!A173</f>
        <v>d</v>
      </c>
      <c r="C460" s="1831"/>
      <c r="D460" s="1117" t="str">
        <f>+'[2]1. RIESGOS Y CONTROLES'!B173</f>
        <v>z</v>
      </c>
      <c r="E460" s="1118" t="e">
        <v>#REF!</v>
      </c>
      <c r="F460" s="1119"/>
      <c r="G460" s="1119"/>
      <c r="H460" s="1119"/>
    </row>
    <row r="461" spans="2:23" x14ac:dyDescent="0.2">
      <c r="B461" s="1830" t="str">
        <f>+'[2]1. RIESGOS Y CONTROLES'!A174</f>
        <v>d</v>
      </c>
      <c r="C461" s="1831"/>
      <c r="D461" s="1117" t="str">
        <f>+'[2]1. RIESGOS Y CONTROLES'!B174</f>
        <v>z</v>
      </c>
      <c r="E461" s="1118" t="e">
        <v>#REF!</v>
      </c>
      <c r="F461" s="1119"/>
      <c r="G461" s="1119"/>
      <c r="H461" s="1119"/>
    </row>
    <row r="462" spans="2:23" x14ac:dyDescent="0.2">
      <c r="B462" s="1830" t="str">
        <f>+'[2]1. RIESGOS Y CONTROLES'!A175</f>
        <v>d</v>
      </c>
      <c r="C462" s="1831"/>
      <c r="D462" s="1117" t="str">
        <f>+'[2]1. RIESGOS Y CONTROLES'!B175</f>
        <v>z</v>
      </c>
      <c r="E462" s="1118" t="e">
        <v>#REF!</v>
      </c>
      <c r="F462" s="1119"/>
      <c r="G462" s="1119"/>
      <c r="H462" s="1119"/>
    </row>
    <row r="463" spans="2:23" x14ac:dyDescent="0.2">
      <c r="B463" s="1830" t="str">
        <f>+'[2]1. RIESGOS Y CONTROLES'!A176</f>
        <v>d</v>
      </c>
      <c r="C463" s="1831"/>
      <c r="D463" s="1117" t="str">
        <f>+'[2]1. RIESGOS Y CONTROLES'!B176</f>
        <v>z</v>
      </c>
      <c r="E463" s="1118" t="e">
        <v>#REF!</v>
      </c>
      <c r="F463" s="1119"/>
      <c r="G463" s="1119"/>
      <c r="H463" s="1119"/>
    </row>
    <row r="464" spans="2:23" x14ac:dyDescent="0.2">
      <c r="B464" s="1830" t="str">
        <f>+'[2]1. RIESGOS Y CONTROLES'!A177</f>
        <v>d</v>
      </c>
      <c r="C464" s="1831"/>
      <c r="D464" s="1117" t="str">
        <f>+'[2]1. RIESGOS Y CONTROLES'!B177</f>
        <v>z</v>
      </c>
      <c r="E464" s="1118" t="e">
        <v>#REF!</v>
      </c>
      <c r="F464" s="1119"/>
      <c r="G464" s="1119"/>
      <c r="H464" s="1119"/>
    </row>
    <row r="465" spans="2:8" x14ac:dyDescent="0.2">
      <c r="B465" s="1830" t="str">
        <f>+'[2]1. RIESGOS Y CONTROLES'!A178</f>
        <v>d</v>
      </c>
      <c r="C465" s="1831"/>
      <c r="D465" s="1117" t="str">
        <f>+'[2]1. RIESGOS Y CONTROLES'!B178</f>
        <v>z</v>
      </c>
      <c r="E465" s="1118" t="e">
        <v>#REF!</v>
      </c>
      <c r="F465" s="1119"/>
      <c r="G465" s="1119"/>
      <c r="H465" s="1119"/>
    </row>
    <row r="466" spans="2:8" x14ac:dyDescent="0.2">
      <c r="B466" s="1830" t="str">
        <f>+'[2]1. RIESGOS Y CONTROLES'!A179</f>
        <v>d</v>
      </c>
      <c r="C466" s="1831"/>
      <c r="D466" s="1117" t="str">
        <f>+'[2]1. RIESGOS Y CONTROLES'!B179</f>
        <v>z</v>
      </c>
      <c r="E466" s="1118" t="e">
        <v>#REF!</v>
      </c>
      <c r="F466" s="1119"/>
      <c r="G466" s="1119"/>
      <c r="H466" s="1119"/>
    </row>
    <row r="467" spans="2:8" x14ac:dyDescent="0.2">
      <c r="B467" s="1830" t="str">
        <f>+'[2]1. RIESGOS Y CONTROLES'!A180</f>
        <v>d</v>
      </c>
      <c r="C467" s="1831"/>
      <c r="D467" s="1117" t="str">
        <f>+'[2]1. RIESGOS Y CONTROLES'!B180</f>
        <v>z</v>
      </c>
      <c r="E467" s="1118" t="e">
        <v>#REF!</v>
      </c>
      <c r="F467" s="1119"/>
      <c r="G467" s="1119"/>
      <c r="H467" s="1119"/>
    </row>
    <row r="468" spans="2:8" x14ac:dyDescent="0.2">
      <c r="B468" s="1830" t="str">
        <f>+'[2]1. RIESGOS Y CONTROLES'!A181</f>
        <v>d</v>
      </c>
      <c r="C468" s="1831"/>
      <c r="D468" s="1117" t="str">
        <f>+'[2]1. RIESGOS Y CONTROLES'!B181</f>
        <v>z</v>
      </c>
      <c r="E468" s="1118" t="e">
        <v>#REF!</v>
      </c>
      <c r="F468" s="1119"/>
      <c r="G468" s="1119"/>
      <c r="H468" s="1119"/>
    </row>
    <row r="469" spans="2:8" x14ac:dyDescent="0.2">
      <c r="B469" s="1830" t="str">
        <f>+'[2]1. RIESGOS Y CONTROLES'!A182</f>
        <v>d</v>
      </c>
      <c r="C469" s="1831"/>
      <c r="D469" s="1117" t="str">
        <f>+'[2]1. RIESGOS Y CONTROLES'!B182</f>
        <v>z</v>
      </c>
      <c r="E469" s="1118"/>
      <c r="F469" s="1119"/>
      <c r="G469" s="1119"/>
    </row>
    <row r="470" spans="2:8" x14ac:dyDescent="0.2">
      <c r="B470" s="1830" t="str">
        <f>+'[2]1. RIESGOS Y CONTROLES'!A183</f>
        <v>d</v>
      </c>
      <c r="C470" s="1831"/>
      <c r="D470" s="1117" t="str">
        <f>+'[2]1. RIESGOS Y CONTROLES'!B183</f>
        <v>z</v>
      </c>
      <c r="E470" s="1118"/>
      <c r="F470" s="1119"/>
      <c r="G470" s="1119"/>
    </row>
    <row r="471" spans="2:8" x14ac:dyDescent="0.2">
      <c r="B471" s="1830" t="str">
        <f>+'[2]1. RIESGOS Y CONTROLES'!A184</f>
        <v>d</v>
      </c>
      <c r="C471" s="1831"/>
      <c r="D471" s="1117" t="str">
        <f>+'[2]1. RIESGOS Y CONTROLES'!B184</f>
        <v>z</v>
      </c>
      <c r="E471" s="1118"/>
      <c r="F471" s="1119"/>
      <c r="G471" s="1119"/>
    </row>
    <row r="472" spans="2:8" x14ac:dyDescent="0.2">
      <c r="B472" s="1830" t="str">
        <f>+'[2]1. RIESGOS Y CONTROLES'!A185</f>
        <v>d</v>
      </c>
      <c r="C472" s="1831"/>
      <c r="D472" s="1117" t="str">
        <f>+'[2]1. RIESGOS Y CONTROLES'!B185</f>
        <v>z</v>
      </c>
      <c r="E472" s="1118"/>
      <c r="F472" s="1119"/>
      <c r="G472" s="1119"/>
    </row>
    <row r="473" spans="2:8" x14ac:dyDescent="0.2">
      <c r="B473" s="1830" t="str">
        <f>+'[2]1. RIESGOS Y CONTROLES'!A186</f>
        <v>d</v>
      </c>
      <c r="C473" s="1831"/>
      <c r="D473" s="1117" t="str">
        <f>+'[2]1. RIESGOS Y CONTROLES'!B186</f>
        <v>z</v>
      </c>
      <c r="E473" s="1118"/>
      <c r="F473" s="1119"/>
      <c r="G473" s="1119"/>
    </row>
    <row r="474" spans="2:8" x14ac:dyDescent="0.2">
      <c r="B474" s="1830" t="str">
        <f>+'[2]1. RIESGOS Y CONTROLES'!A187</f>
        <v>d</v>
      </c>
      <c r="C474" s="1831"/>
      <c r="D474" s="1117" t="str">
        <f>+'[2]1. RIESGOS Y CONTROLES'!B187</f>
        <v>z</v>
      </c>
      <c r="E474" s="1118"/>
      <c r="F474" s="1119"/>
      <c r="G474" s="1119"/>
    </row>
    <row r="475" spans="2:8" x14ac:dyDescent="0.2">
      <c r="B475" s="1830" t="str">
        <f>+'[2]1. RIESGOS Y CONTROLES'!A188</f>
        <v>d</v>
      </c>
      <c r="C475" s="1831"/>
      <c r="D475" s="1117" t="str">
        <f>+'[2]1. RIESGOS Y CONTROLES'!B188</f>
        <v>z</v>
      </c>
      <c r="E475" s="1118"/>
      <c r="F475" s="1119"/>
      <c r="G475" s="1119"/>
    </row>
    <row r="476" spans="2:8" x14ac:dyDescent="0.2">
      <c r="B476" s="1830" t="str">
        <f>+'[2]1. RIESGOS Y CONTROLES'!A189</f>
        <v>d</v>
      </c>
      <c r="C476" s="1831"/>
      <c r="D476" s="1117" t="str">
        <f>+'[2]1. RIESGOS Y CONTROLES'!B189</f>
        <v>z</v>
      </c>
      <c r="E476" s="1118"/>
      <c r="F476" s="1119"/>
      <c r="G476" s="1119"/>
    </row>
    <row r="477" spans="2:8" x14ac:dyDescent="0.2">
      <c r="B477" s="1830" t="str">
        <f>+'[2]1. RIESGOS Y CONTROLES'!A190</f>
        <v>d</v>
      </c>
      <c r="C477" s="1831"/>
      <c r="D477" s="1117" t="str">
        <f>+'[2]1. RIESGOS Y CONTROLES'!B190</f>
        <v>z</v>
      </c>
      <c r="E477" s="1118"/>
      <c r="F477" s="1119"/>
      <c r="G477" s="1119"/>
    </row>
    <row r="478" spans="2:8" x14ac:dyDescent="0.2">
      <c r="B478" s="1830" t="str">
        <f>+'[2]1. RIESGOS Y CONTROLES'!A191</f>
        <v>d</v>
      </c>
      <c r="C478" s="1831"/>
      <c r="D478" s="1117" t="str">
        <f>+'[2]1. RIESGOS Y CONTROLES'!B191</f>
        <v>z</v>
      </c>
      <c r="E478" s="1118"/>
      <c r="F478" s="1119"/>
      <c r="G478" s="1119"/>
    </row>
    <row r="479" spans="2:8" x14ac:dyDescent="0.2">
      <c r="B479" s="1830" t="str">
        <f>+'[2]1. RIESGOS Y CONTROLES'!A192</f>
        <v>d</v>
      </c>
      <c r="C479" s="1831"/>
      <c r="D479" s="1117" t="str">
        <f>+'[2]1. RIESGOS Y CONTROLES'!B192</f>
        <v>z</v>
      </c>
      <c r="E479" s="1118"/>
      <c r="F479" s="1119"/>
      <c r="G479" s="1119"/>
    </row>
    <row r="480" spans="2:8" x14ac:dyDescent="0.2">
      <c r="B480" s="1830" t="str">
        <f>+'[2]1. RIESGOS Y CONTROLES'!A193</f>
        <v>d</v>
      </c>
      <c r="C480" s="1831"/>
      <c r="D480" s="1117" t="str">
        <f>+'[2]1. RIESGOS Y CONTROLES'!B193</f>
        <v>z</v>
      </c>
      <c r="E480" s="1118"/>
      <c r="F480" s="1119"/>
      <c r="G480" s="1119"/>
    </row>
    <row r="481" spans="2:7" x14ac:dyDescent="0.2">
      <c r="B481" s="1830" t="str">
        <f>+'[2]1. RIESGOS Y CONTROLES'!A194</f>
        <v>d</v>
      </c>
      <c r="C481" s="1831"/>
      <c r="D481" s="1117" t="str">
        <f>+'[2]1. RIESGOS Y CONTROLES'!B194</f>
        <v>z</v>
      </c>
      <c r="E481" s="1118"/>
      <c r="F481" s="1119"/>
      <c r="G481" s="1119"/>
    </row>
    <row r="482" spans="2:7" x14ac:dyDescent="0.2">
      <c r="B482" s="1830" t="str">
        <f>+'[2]1. RIESGOS Y CONTROLES'!A195</f>
        <v>d</v>
      </c>
      <c r="C482" s="1831"/>
      <c r="D482" s="1117" t="str">
        <f>+'[2]1. RIESGOS Y CONTROLES'!B195</f>
        <v>z</v>
      </c>
      <c r="E482" s="1118"/>
      <c r="F482" s="1119"/>
      <c r="G482" s="1119"/>
    </row>
    <row r="483" spans="2:7" x14ac:dyDescent="0.2">
      <c r="B483" s="1830" t="str">
        <f>+'[2]1. RIESGOS Y CONTROLES'!A196</f>
        <v>d</v>
      </c>
      <c r="C483" s="1831"/>
      <c r="D483" s="1117" t="str">
        <f>+'[2]1. RIESGOS Y CONTROLES'!B196</f>
        <v>z</v>
      </c>
      <c r="E483" s="1118"/>
      <c r="F483" s="1119"/>
      <c r="G483" s="1119"/>
    </row>
    <row r="484" spans="2:7" x14ac:dyDescent="0.2">
      <c r="B484" s="1830" t="str">
        <f>+'[2]1. RIESGOS Y CONTROLES'!A197</f>
        <v>d</v>
      </c>
      <c r="C484" s="1831"/>
      <c r="D484" s="1117" t="str">
        <f>+'[2]1. RIESGOS Y CONTROLES'!B197</f>
        <v>z</v>
      </c>
      <c r="E484" s="1118"/>
      <c r="F484" s="1119"/>
      <c r="G484" s="1119"/>
    </row>
    <row r="485" spans="2:7" x14ac:dyDescent="0.2">
      <c r="B485" s="1830" t="str">
        <f>+'[2]1. RIESGOS Y CONTROLES'!A198</f>
        <v>d</v>
      </c>
      <c r="C485" s="1831"/>
      <c r="D485" s="1117" t="str">
        <f>+'[2]1. RIESGOS Y CONTROLES'!B198</f>
        <v>z</v>
      </c>
      <c r="E485" s="1118"/>
      <c r="F485" s="1119"/>
      <c r="G485" s="1119"/>
    </row>
    <row r="486" spans="2:7" x14ac:dyDescent="0.2">
      <c r="B486" s="1830" t="str">
        <f>+'[2]1. RIESGOS Y CONTROLES'!A199</f>
        <v>d</v>
      </c>
      <c r="C486" s="1831"/>
      <c r="D486" s="1117" t="str">
        <f>+'[2]1. RIESGOS Y CONTROLES'!B199</f>
        <v>z</v>
      </c>
      <c r="E486" s="1118"/>
      <c r="F486" s="1119"/>
      <c r="G486" s="1119"/>
    </row>
    <row r="487" spans="2:7" x14ac:dyDescent="0.2">
      <c r="B487" s="1830" t="str">
        <f>+'[2]1. RIESGOS Y CONTROLES'!A200</f>
        <v>d</v>
      </c>
      <c r="C487" s="1831"/>
      <c r="D487" s="1117" t="str">
        <f>+'[2]1. RIESGOS Y CONTROLES'!B200</f>
        <v>z</v>
      </c>
      <c r="E487" s="1118"/>
      <c r="F487" s="1119"/>
      <c r="G487" s="1119"/>
    </row>
    <row r="488" spans="2:7" x14ac:dyDescent="0.2">
      <c r="B488" s="1830" t="str">
        <f>+'[2]1. RIESGOS Y CONTROLES'!A201</f>
        <v>d</v>
      </c>
      <c r="C488" s="1831"/>
      <c r="D488" s="1117" t="str">
        <f>+'[2]1. RIESGOS Y CONTROLES'!B201</f>
        <v>z</v>
      </c>
      <c r="E488" s="1118"/>
      <c r="F488" s="1119"/>
      <c r="G488" s="1119"/>
    </row>
    <row r="489" spans="2:7" x14ac:dyDescent="0.2">
      <c r="B489" s="1830" t="str">
        <f>+'[2]1. RIESGOS Y CONTROLES'!A202</f>
        <v>d</v>
      </c>
      <c r="C489" s="1831"/>
      <c r="D489" s="1117" t="str">
        <f>+'[2]1. RIESGOS Y CONTROLES'!B202</f>
        <v>z</v>
      </c>
      <c r="E489" s="1118"/>
      <c r="F489" s="1119"/>
      <c r="G489" s="1119"/>
    </row>
    <row r="490" spans="2:7" x14ac:dyDescent="0.2">
      <c r="B490" s="1830" t="str">
        <f>+'[2]1. RIESGOS Y CONTROLES'!A203</f>
        <v>d</v>
      </c>
      <c r="C490" s="1831"/>
      <c r="D490" s="1117" t="str">
        <f>+'[2]1. RIESGOS Y CONTROLES'!B203</f>
        <v>z</v>
      </c>
      <c r="E490" s="1118"/>
      <c r="F490" s="1119"/>
      <c r="G490" s="1119"/>
    </row>
    <row r="491" spans="2:7" x14ac:dyDescent="0.2">
      <c r="B491" s="1830" t="str">
        <f>+'[2]1. RIESGOS Y CONTROLES'!A204</f>
        <v>d</v>
      </c>
      <c r="C491" s="1831"/>
      <c r="D491" s="1117" t="str">
        <f>+'[2]1. RIESGOS Y CONTROLES'!B204</f>
        <v>z</v>
      </c>
      <c r="E491" s="1118"/>
      <c r="F491" s="1119"/>
      <c r="G491" s="1119"/>
    </row>
    <row r="492" spans="2:7" x14ac:dyDescent="0.2">
      <c r="B492" s="1830" t="str">
        <f>+'[2]1. RIESGOS Y CONTROLES'!A205</f>
        <v>d</v>
      </c>
      <c r="C492" s="1831"/>
      <c r="D492" s="1117" t="str">
        <f>+'[2]1. RIESGOS Y CONTROLES'!B205</f>
        <v>z</v>
      </c>
      <c r="E492" s="1118"/>
      <c r="F492" s="1119"/>
      <c r="G492" s="1119"/>
    </row>
    <row r="493" spans="2:7" x14ac:dyDescent="0.2">
      <c r="B493" s="1830" t="str">
        <f>+'[2]1. RIESGOS Y CONTROLES'!A206</f>
        <v>d</v>
      </c>
      <c r="C493" s="1831"/>
      <c r="D493" s="1117" t="str">
        <f>+'[2]1. RIESGOS Y CONTROLES'!B206</f>
        <v>z</v>
      </c>
      <c r="E493" s="1118"/>
      <c r="F493" s="1119"/>
      <c r="G493" s="1119"/>
    </row>
    <row r="494" spans="2:7" x14ac:dyDescent="0.2">
      <c r="D494" s="1108"/>
    </row>
    <row r="495" spans="2:7" x14ac:dyDescent="0.2">
      <c r="D495" s="1108"/>
    </row>
    <row r="496" spans="2:7" x14ac:dyDescent="0.2">
      <c r="D496" s="1108"/>
    </row>
    <row r="497" spans="4:4" x14ac:dyDescent="0.2">
      <c r="D497" s="1108"/>
    </row>
    <row r="498" spans="4:4" x14ac:dyDescent="0.2">
      <c r="D498" s="1108"/>
    </row>
    <row r="499" spans="4:4" x14ac:dyDescent="0.2">
      <c r="D499" s="1108"/>
    </row>
    <row r="500" spans="4:4" x14ac:dyDescent="0.2">
      <c r="D500" s="1108"/>
    </row>
    <row r="501" spans="4:4" x14ac:dyDescent="0.2">
      <c r="D501" s="1108"/>
    </row>
    <row r="502" spans="4:4" x14ac:dyDescent="0.2">
      <c r="D502" s="1108"/>
    </row>
    <row r="503" spans="4:4" x14ac:dyDescent="0.2">
      <c r="D503" s="1108"/>
    </row>
    <row r="504" spans="4:4" x14ac:dyDescent="0.2">
      <c r="D504" s="1108"/>
    </row>
    <row r="505" spans="4:4" x14ac:dyDescent="0.2">
      <c r="D505" s="1108"/>
    </row>
    <row r="506" spans="4:4" x14ac:dyDescent="0.2">
      <c r="D506" s="1108"/>
    </row>
    <row r="507" spans="4:4" x14ac:dyDescent="0.2">
      <c r="D507" s="1108"/>
    </row>
    <row r="508" spans="4:4" x14ac:dyDescent="0.2">
      <c r="D508" s="1108"/>
    </row>
    <row r="509" spans="4:4" x14ac:dyDescent="0.2">
      <c r="D509" s="1108"/>
    </row>
    <row r="510" spans="4:4" x14ac:dyDescent="0.2">
      <c r="D510" s="1108"/>
    </row>
    <row r="511" spans="4:4" x14ac:dyDescent="0.2">
      <c r="D511" s="1108"/>
    </row>
    <row r="512" spans="4:4" x14ac:dyDescent="0.2">
      <c r="D512" s="1108"/>
    </row>
    <row r="513" spans="4:4" x14ac:dyDescent="0.2">
      <c r="D513" s="1108"/>
    </row>
    <row r="514" spans="4:4" x14ac:dyDescent="0.2">
      <c r="D514" s="1108"/>
    </row>
    <row r="515" spans="4:4" x14ac:dyDescent="0.2">
      <c r="D515" s="1108"/>
    </row>
    <row r="516" spans="4:4" x14ac:dyDescent="0.2">
      <c r="D516" s="1108"/>
    </row>
    <row r="517" spans="4:4" x14ac:dyDescent="0.2">
      <c r="D517" s="1108"/>
    </row>
    <row r="518" spans="4:4" x14ac:dyDescent="0.2">
      <c r="D518" s="1108"/>
    </row>
    <row r="519" spans="4:4" x14ac:dyDescent="0.2">
      <c r="D519" s="1108"/>
    </row>
    <row r="520" spans="4:4" x14ac:dyDescent="0.2">
      <c r="D520" s="1108"/>
    </row>
    <row r="521" spans="4:4" x14ac:dyDescent="0.2">
      <c r="D521" s="1108"/>
    </row>
    <row r="522" spans="4:4" x14ac:dyDescent="0.2">
      <c r="D522" s="1108"/>
    </row>
    <row r="523" spans="4:4" x14ac:dyDescent="0.2">
      <c r="D523" s="1108"/>
    </row>
    <row r="524" spans="4:4" x14ac:dyDescent="0.2">
      <c r="D524" s="1108"/>
    </row>
    <row r="525" spans="4:4" x14ac:dyDescent="0.2">
      <c r="D525" s="1108"/>
    </row>
    <row r="620" spans="2:23" s="1126" customFormat="1" x14ac:dyDescent="0.2">
      <c r="B620" s="1120" t="s">
        <v>1700</v>
      </c>
      <c r="C620" s="1121"/>
      <c r="D620" s="1122"/>
      <c r="E620" s="1122"/>
      <c r="F620" s="1122"/>
      <c r="G620" s="1122"/>
      <c r="H620" s="1122"/>
      <c r="I620" s="1122"/>
      <c r="J620" s="1122"/>
      <c r="K620" s="1123"/>
      <c r="L620" s="1121"/>
      <c r="M620" s="1121"/>
      <c r="N620" s="1123"/>
      <c r="O620" s="1121"/>
      <c r="P620" s="1121"/>
      <c r="Q620" s="1121"/>
      <c r="R620" s="1121"/>
      <c r="S620" s="1121"/>
      <c r="T620" s="1124"/>
      <c r="U620" s="1121"/>
      <c r="V620" s="1121"/>
      <c r="W620" s="1125"/>
    </row>
    <row r="621" spans="2:23" s="1126" customFormat="1" x14ac:dyDescent="0.2">
      <c r="B621" s="1127" t="s">
        <v>913</v>
      </c>
      <c r="C621" s="1121"/>
      <c r="D621" s="1122"/>
      <c r="E621" s="1122"/>
      <c r="F621" s="1122"/>
      <c r="G621" s="1122"/>
      <c r="H621" s="1122"/>
      <c r="I621" s="1122"/>
      <c r="J621" s="1122"/>
      <c r="K621" s="1123"/>
      <c r="L621" s="1121"/>
      <c r="M621" s="1121"/>
      <c r="N621" s="1123"/>
      <c r="O621" s="1121"/>
      <c r="P621" s="1121"/>
      <c r="Q621" s="1121"/>
      <c r="R621" s="1121"/>
      <c r="S621" s="1121"/>
      <c r="T621" s="1124"/>
      <c r="U621" s="1121"/>
      <c r="V621" s="1121"/>
      <c r="W621" s="1125"/>
    </row>
    <row r="622" spans="2:23" s="1126" customFormat="1" x14ac:dyDescent="0.2">
      <c r="B622" s="1120"/>
      <c r="C622" s="1121"/>
      <c r="D622" s="1122"/>
      <c r="E622" s="1122"/>
      <c r="F622" s="1122"/>
      <c r="G622" s="1122"/>
      <c r="H622" s="1122"/>
      <c r="I622" s="1122"/>
      <c r="J622" s="1122"/>
      <c r="K622" s="1123"/>
      <c r="L622" s="1121"/>
      <c r="M622" s="1121"/>
      <c r="N622" s="1123"/>
      <c r="O622" s="1121"/>
      <c r="P622" s="1121"/>
      <c r="Q622" s="1121"/>
      <c r="R622" s="1121"/>
      <c r="S622" s="1121"/>
      <c r="T622" s="1124"/>
      <c r="U622" s="1121"/>
      <c r="V622" s="1121"/>
      <c r="W622" s="1125"/>
    </row>
  </sheetData>
  <sheetProtection algorithmName="SHA-512" hashValue="e7ZcCDN68TVlt4MyD00okoeJqSQNVTTt6ejFLltgaUomVaQh4HYNtuCe+Wt/8DyPqvZObHVv2yRgiy2uRIAYPA==" saltValue="FJ8KZ2Ef7AdRC8TNHSnlUQ==" spinCount="100000" sheet="1" objects="1" scenarios="1"/>
  <mergeCells count="93">
    <mergeCell ref="V22:V24"/>
    <mergeCell ref="U21:V21"/>
    <mergeCell ref="K16:K17"/>
    <mergeCell ref="O21:P21"/>
    <mergeCell ref="I18:J18"/>
    <mergeCell ref="N23:N24"/>
    <mergeCell ref="O23:O24"/>
    <mergeCell ref="H22:I22"/>
    <mergeCell ref="O16:Q16"/>
    <mergeCell ref="L18:M18"/>
    <mergeCell ref="L21:M21"/>
    <mergeCell ref="T23:T24"/>
    <mergeCell ref="U23:U24"/>
    <mergeCell ref="S22:S24"/>
    <mergeCell ref="T22:U22"/>
    <mergeCell ref="R21:S21"/>
    <mergeCell ref="Q22:R22"/>
    <mergeCell ref="Q23:Q24"/>
    <mergeCell ref="R23:R24"/>
    <mergeCell ref="B457:C457"/>
    <mergeCell ref="B458:C458"/>
    <mergeCell ref="J22:J24"/>
    <mergeCell ref="B456:C456"/>
    <mergeCell ref="H23:H24"/>
    <mergeCell ref="I23:I24"/>
    <mergeCell ref="B453:C453"/>
    <mergeCell ref="B454:C454"/>
    <mergeCell ref="B455:C455"/>
    <mergeCell ref="G16:G24"/>
    <mergeCell ref="B16:B24"/>
    <mergeCell ref="C16:C24"/>
    <mergeCell ref="D16:D24"/>
    <mergeCell ref="B474:C474"/>
    <mergeCell ref="B463:C463"/>
    <mergeCell ref="B464:C464"/>
    <mergeCell ref="B465:C465"/>
    <mergeCell ref="B466:C466"/>
    <mergeCell ref="B467:C467"/>
    <mergeCell ref="B468:C468"/>
    <mergeCell ref="B469:C469"/>
    <mergeCell ref="B470:C470"/>
    <mergeCell ref="B471:C471"/>
    <mergeCell ref="B472:C472"/>
    <mergeCell ref="B473:C473"/>
    <mergeCell ref="B486:C486"/>
    <mergeCell ref="B475:C475"/>
    <mergeCell ref="B476:C476"/>
    <mergeCell ref="B477:C477"/>
    <mergeCell ref="B478:C478"/>
    <mergeCell ref="B479:C479"/>
    <mergeCell ref="B480:C480"/>
    <mergeCell ref="B481:C481"/>
    <mergeCell ref="B482:C482"/>
    <mergeCell ref="B483:C483"/>
    <mergeCell ref="B484:C484"/>
    <mergeCell ref="B485:C485"/>
    <mergeCell ref="B493:C493"/>
    <mergeCell ref="B487:C487"/>
    <mergeCell ref="B488:C488"/>
    <mergeCell ref="B489:C489"/>
    <mergeCell ref="B490:C490"/>
    <mergeCell ref="B491:C491"/>
    <mergeCell ref="B492:C492"/>
    <mergeCell ref="L19:M20"/>
    <mergeCell ref="F16:F24"/>
    <mergeCell ref="H16:H17"/>
    <mergeCell ref="I16:J17"/>
    <mergeCell ref="H19:H21"/>
    <mergeCell ref="I19:J21"/>
    <mergeCell ref="K19:K20"/>
    <mergeCell ref="B462:C462"/>
    <mergeCell ref="E16:E24"/>
    <mergeCell ref="B459:C459"/>
    <mergeCell ref="B460:C460"/>
    <mergeCell ref="B461:C461"/>
    <mergeCell ref="P22:P24"/>
    <mergeCell ref="K22:L22"/>
    <mergeCell ref="M22:M24"/>
    <mergeCell ref="K23:K24"/>
    <mergeCell ref="L23:L24"/>
    <mergeCell ref="N22:O22"/>
    <mergeCell ref="B2:B3"/>
    <mergeCell ref="V2:V3"/>
    <mergeCell ref="C2:U3"/>
    <mergeCell ref="C5:F5"/>
    <mergeCell ref="L16:M17"/>
    <mergeCell ref="B14:W14"/>
    <mergeCell ref="C7:D7"/>
    <mergeCell ref="C8:D8"/>
    <mergeCell ref="S16:V16"/>
    <mergeCell ref="B11:B12"/>
    <mergeCell ref="D11:D12"/>
    <mergeCell ref="C9:D9"/>
  </mergeCells>
  <conditionalFormatting sqref="B2:C2">
    <cfRule type="cellIs" dxfId="116" priority="1" operator="equal">
      <formula>"ERROR"</formula>
    </cfRule>
  </conditionalFormatting>
  <conditionalFormatting sqref="D11:H12">
    <cfRule type="beginsWith" dxfId="115" priority="33" operator="beginsWith" text="PLAN ESTRATEGICO INSTITUCIONAL o CORPORATIVO">
      <formula>LEFT(D11,LEN("PLAN ESTRATEGICO INSTITUCIONAL o CORPORATIVO"))="PLAN ESTRATEGICO INSTITUCIONAL o CORPORATIVO"</formula>
    </cfRule>
  </conditionalFormatting>
  <conditionalFormatting sqref="E389:F389">
    <cfRule type="containsText" dxfId="114" priority="34" stopIfTrue="1" operator="containsText" text="Secretaría de Gestión del Riesgo">
      <formula>NOT(ISERROR(SEARCH("Secretaría de Gestión del Riesgo",E389)))</formula>
    </cfRule>
  </conditionalFormatting>
  <conditionalFormatting sqref="E11:H12">
    <cfRule type="cellIs" dxfId="113" priority="30" operator="between">
      <formula>""""""</formula>
      <formula>""""""</formula>
    </cfRule>
    <cfRule type="cellIs" dxfId="112" priority="31" operator="between">
      <formula>""""""</formula>
      <formula>""""""</formula>
    </cfRule>
  </conditionalFormatting>
  <conditionalFormatting sqref="I16:J17">
    <cfRule type="cellIs" dxfId="111" priority="5" operator="between">
      <formula>0.75</formula>
      <formula>1</formula>
    </cfRule>
    <cfRule type="cellIs" dxfId="110" priority="7" operator="between">
      <formula>0</formula>
      <formula>0.749</formula>
    </cfRule>
  </conditionalFormatting>
  <conditionalFormatting sqref="I18:J18">
    <cfRule type="containsText" dxfId="109" priority="2" operator="containsText" text="INEFICAZ">
      <formula>NOT(ISERROR(SEARCH("INEFICAZ",I18)))</formula>
    </cfRule>
    <cfRule type="containsText" dxfId="108" priority="3" operator="containsText" text="EFICAZ">
      <formula>NOT(ISERROR(SEARCH("EFICAZ",I18)))</formula>
    </cfRule>
  </conditionalFormatting>
  <conditionalFormatting sqref="L16:M17">
    <cfRule type="cellIs" dxfId="107" priority="10" operator="between">
      <formula>0.75</formula>
      <formula>1</formula>
    </cfRule>
    <cfRule type="cellIs" dxfId="106" priority="23" operator="between">
      <formula>0</formula>
      <formula>0.749</formula>
    </cfRule>
  </conditionalFormatting>
  <conditionalFormatting sqref="L18:M18">
    <cfRule type="containsText" dxfId="105" priority="8" operator="containsText" text="INEFICIENTE">
      <formula>NOT(ISERROR(SEARCH("INEFICIENTE",L18)))</formula>
    </cfRule>
    <cfRule type="containsText" dxfId="104" priority="9" operator="containsText" text="EFICIENTE">
      <formula>NOT(ISERROR(SEARCH("EFICIENTE",L18)))</formula>
    </cfRule>
  </conditionalFormatting>
  <conditionalFormatting sqref="P18:P19">
    <cfRule type="cellIs" dxfId="103" priority="16" operator="between">
      <formula>0</formula>
      <formula>74.99</formula>
    </cfRule>
  </conditionalFormatting>
  <conditionalFormatting sqref="P18:Q19">
    <cfRule type="containsText" dxfId="102" priority="12" operator="containsText" text="No Aplica">
      <formula>NOT(ISERROR(SEARCH("No Aplica",P18)))</formula>
    </cfRule>
  </conditionalFormatting>
  <conditionalFormatting sqref="Q18">
    <cfRule type="containsText" dxfId="101" priority="20" operator="containsText" text="INEFICAZ">
      <formula>NOT(ISERROR(SEARCH("INEFICAZ",Q18)))</formula>
    </cfRule>
    <cfRule type="containsText" dxfId="100" priority="21" operator="containsText" text="EFICAZ">
      <formula>NOT(ISERROR(SEARCH("EFICAZ",Q18)))</formula>
    </cfRule>
  </conditionalFormatting>
  <conditionalFormatting sqref="Q19">
    <cfRule type="containsText" dxfId="99" priority="18" operator="containsText" text="INEFICIENTE">
      <formula>NOT(ISERROR(SEARCH("INEFICIENTE",Q19)))</formula>
    </cfRule>
    <cfRule type="containsText" dxfId="98" priority="19" operator="containsText" text="EFICIENTE">
      <formula>NOT(ISERROR(SEARCH("EFICIENTE",Q19)))</formula>
    </cfRule>
  </conditionalFormatting>
  <dataValidations disablePrompts="1" count="3">
    <dataValidation type="list" allowBlank="1" showInputMessage="1" showErrorMessage="1" sqref="D11:D12">
      <formula1>$B$620:$B$621</formula1>
    </dataValidation>
    <dataValidation type="whole" allowBlank="1" showInputMessage="1" showErrorMessage="1" sqref="WVZ983273:WVZ983586 JM25:JM334 TI25:TI334 ADE25:ADE334 ANA25:ANA334 AWW25:AWW334 BGS25:BGS334 BQO25:BQO334 CAK25:CAK334 CKG25:CKG334 CUC25:CUC334 DDY25:DDY334 DNU25:DNU334 DXQ25:DXQ334 EHM25:EHM334 ERI25:ERI334 FBE25:FBE334 FLA25:FLA334 FUW25:FUW334 GES25:GES334 GOO25:GOO334 GYK25:GYK334 HIG25:HIG334 HSC25:HSC334 IBY25:IBY334 ILU25:ILU334 IVQ25:IVQ334 JFM25:JFM334 JPI25:JPI334 JZE25:JZE334 KJA25:KJA334 KSW25:KSW334 LCS25:LCS334 LMO25:LMO334 LWK25:LWK334 MGG25:MGG334 MQC25:MQC334 MZY25:MZY334 NJU25:NJU334 NTQ25:NTQ334 ODM25:ODM334 ONI25:ONI334 OXE25:OXE334 PHA25:PHA334 PQW25:PQW334 QAS25:QAS334 QKO25:QKO334 QUK25:QUK334 REG25:REG334 ROC25:ROC334 RXY25:RXY334 SHU25:SHU334 SRQ25:SRQ334 TBM25:TBM334 TLI25:TLI334 TVE25:TVE334 UFA25:UFA334 UOW25:UOW334 UYS25:UYS334 VIO25:VIO334 VSK25:VSK334 WCG25:WCG334 WMC25:WMC334 WVY25:WVY334 JN65457:JN65766 TJ65457:TJ65766 ADF65457:ADF65766 ANB65457:ANB65766 AWX65457:AWX65766 BGT65457:BGT65766 BQP65457:BQP65766 CAL65457:CAL65766 CKH65457:CKH65766 CUD65457:CUD65766 DDZ65457:DDZ65766 DNV65457:DNV65766 DXR65457:DXR65766 EHN65457:EHN65766 ERJ65457:ERJ65766 FBF65457:FBF65766 FLB65457:FLB65766 FUX65457:FUX65766 GET65457:GET65766 GOP65457:GOP65766 GYL65457:GYL65766 HIH65457:HIH65766 HSD65457:HSD65766 IBZ65457:IBZ65766 ILV65457:ILV65766 IVR65457:IVR65766 JFN65457:JFN65766 JPJ65457:JPJ65766 JZF65457:JZF65766 KJB65457:KJB65766 KSX65457:KSX65766 LCT65457:LCT65766 LMP65457:LMP65766 LWL65457:LWL65766 MGH65457:MGH65766 MQD65457:MQD65766 MZZ65457:MZZ65766 NJV65457:NJV65766 NTR65457:NTR65766 ODN65457:ODN65766 ONJ65457:ONJ65766 OXF65457:OXF65766 PHB65457:PHB65766 PQX65457:PQX65766 QAT65457:QAT65766 QKP65457:QKP65766 QUL65457:QUL65766 REH65457:REH65766 ROD65457:ROD65766 RXZ65457:RXZ65766 SHV65457:SHV65766 SRR65457:SRR65766 TBN65457:TBN65766 TLJ65457:TLJ65766 TVF65457:TVF65766 UFB65457:UFB65766 UOX65457:UOX65766 UYT65457:UYT65766 VIP65457:VIP65766 VSL65457:VSL65766 WCH65457:WCH65766 WMD65457:WMD65766 WVZ65457:WVZ65766 JN130993:JN131302 TJ130993:TJ131302 ADF130993:ADF131302 ANB130993:ANB131302 AWX130993:AWX131302 BGT130993:BGT131302 BQP130993:BQP131302 CAL130993:CAL131302 CKH130993:CKH131302 CUD130993:CUD131302 DDZ130993:DDZ131302 DNV130993:DNV131302 DXR130993:DXR131302 EHN130993:EHN131302 ERJ130993:ERJ131302 FBF130993:FBF131302 FLB130993:FLB131302 FUX130993:FUX131302 GET130993:GET131302 GOP130993:GOP131302 GYL130993:GYL131302 HIH130993:HIH131302 HSD130993:HSD131302 IBZ130993:IBZ131302 ILV130993:ILV131302 IVR130993:IVR131302 JFN130993:JFN131302 JPJ130993:JPJ131302 JZF130993:JZF131302 KJB130993:KJB131302 KSX130993:KSX131302 LCT130993:LCT131302 LMP130993:LMP131302 LWL130993:LWL131302 MGH130993:MGH131302 MQD130993:MQD131302 MZZ130993:MZZ131302 NJV130993:NJV131302 NTR130993:NTR131302 ODN130993:ODN131302 ONJ130993:ONJ131302 OXF130993:OXF131302 PHB130993:PHB131302 PQX130993:PQX131302 QAT130993:QAT131302 QKP130993:QKP131302 QUL130993:QUL131302 REH130993:REH131302 ROD130993:ROD131302 RXZ130993:RXZ131302 SHV130993:SHV131302 SRR130993:SRR131302 TBN130993:TBN131302 TLJ130993:TLJ131302 TVF130993:TVF131302 UFB130993:UFB131302 UOX130993:UOX131302 UYT130993:UYT131302 VIP130993:VIP131302 VSL130993:VSL131302 WCH130993:WCH131302 WMD130993:WMD131302 WVZ130993:WVZ131302 JN196529:JN196838 TJ196529:TJ196838 ADF196529:ADF196838 ANB196529:ANB196838 AWX196529:AWX196838 BGT196529:BGT196838 BQP196529:BQP196838 CAL196529:CAL196838 CKH196529:CKH196838 CUD196529:CUD196838 DDZ196529:DDZ196838 DNV196529:DNV196838 DXR196529:DXR196838 EHN196529:EHN196838 ERJ196529:ERJ196838 FBF196529:FBF196838 FLB196529:FLB196838 FUX196529:FUX196838 GET196529:GET196838 GOP196529:GOP196838 GYL196529:GYL196838 HIH196529:HIH196838 HSD196529:HSD196838 IBZ196529:IBZ196838 ILV196529:ILV196838 IVR196529:IVR196838 JFN196529:JFN196838 JPJ196529:JPJ196838 JZF196529:JZF196838 KJB196529:KJB196838 KSX196529:KSX196838 LCT196529:LCT196838 LMP196529:LMP196838 LWL196529:LWL196838 MGH196529:MGH196838 MQD196529:MQD196838 MZZ196529:MZZ196838 NJV196529:NJV196838 NTR196529:NTR196838 ODN196529:ODN196838 ONJ196529:ONJ196838 OXF196529:OXF196838 PHB196529:PHB196838 PQX196529:PQX196838 QAT196529:QAT196838 QKP196529:QKP196838 QUL196529:QUL196838 REH196529:REH196838 ROD196529:ROD196838 RXZ196529:RXZ196838 SHV196529:SHV196838 SRR196529:SRR196838 TBN196529:TBN196838 TLJ196529:TLJ196838 TVF196529:TVF196838 UFB196529:UFB196838 UOX196529:UOX196838 UYT196529:UYT196838 VIP196529:VIP196838 VSL196529:VSL196838 WCH196529:WCH196838 WMD196529:WMD196838 WVZ196529:WVZ196838 JN262065:JN262374 TJ262065:TJ262374 ADF262065:ADF262374 ANB262065:ANB262374 AWX262065:AWX262374 BGT262065:BGT262374 BQP262065:BQP262374 CAL262065:CAL262374 CKH262065:CKH262374 CUD262065:CUD262374 DDZ262065:DDZ262374 DNV262065:DNV262374 DXR262065:DXR262374 EHN262065:EHN262374 ERJ262065:ERJ262374 FBF262065:FBF262374 FLB262065:FLB262374 FUX262065:FUX262374 GET262065:GET262374 GOP262065:GOP262374 GYL262065:GYL262374 HIH262065:HIH262374 HSD262065:HSD262374 IBZ262065:IBZ262374 ILV262065:ILV262374 IVR262065:IVR262374 JFN262065:JFN262374 JPJ262065:JPJ262374 JZF262065:JZF262374 KJB262065:KJB262374 KSX262065:KSX262374 LCT262065:LCT262374 LMP262065:LMP262374 LWL262065:LWL262374 MGH262065:MGH262374 MQD262065:MQD262374 MZZ262065:MZZ262374 NJV262065:NJV262374 NTR262065:NTR262374 ODN262065:ODN262374 ONJ262065:ONJ262374 OXF262065:OXF262374 PHB262065:PHB262374 PQX262065:PQX262374 QAT262065:QAT262374 QKP262065:QKP262374 QUL262065:QUL262374 REH262065:REH262374 ROD262065:ROD262374 RXZ262065:RXZ262374 SHV262065:SHV262374 SRR262065:SRR262374 TBN262065:TBN262374 TLJ262065:TLJ262374 TVF262065:TVF262374 UFB262065:UFB262374 UOX262065:UOX262374 UYT262065:UYT262374 VIP262065:VIP262374 VSL262065:VSL262374 WCH262065:WCH262374 WMD262065:WMD262374 WVZ262065:WVZ262374 JN327601:JN327910 TJ327601:TJ327910 ADF327601:ADF327910 ANB327601:ANB327910 AWX327601:AWX327910 BGT327601:BGT327910 BQP327601:BQP327910 CAL327601:CAL327910 CKH327601:CKH327910 CUD327601:CUD327910 DDZ327601:DDZ327910 DNV327601:DNV327910 DXR327601:DXR327910 EHN327601:EHN327910 ERJ327601:ERJ327910 FBF327601:FBF327910 FLB327601:FLB327910 FUX327601:FUX327910 GET327601:GET327910 GOP327601:GOP327910 GYL327601:GYL327910 HIH327601:HIH327910 HSD327601:HSD327910 IBZ327601:IBZ327910 ILV327601:ILV327910 IVR327601:IVR327910 JFN327601:JFN327910 JPJ327601:JPJ327910 JZF327601:JZF327910 KJB327601:KJB327910 KSX327601:KSX327910 LCT327601:LCT327910 LMP327601:LMP327910 LWL327601:LWL327910 MGH327601:MGH327910 MQD327601:MQD327910 MZZ327601:MZZ327910 NJV327601:NJV327910 NTR327601:NTR327910 ODN327601:ODN327910 ONJ327601:ONJ327910 OXF327601:OXF327910 PHB327601:PHB327910 PQX327601:PQX327910 QAT327601:QAT327910 QKP327601:QKP327910 QUL327601:QUL327910 REH327601:REH327910 ROD327601:ROD327910 RXZ327601:RXZ327910 SHV327601:SHV327910 SRR327601:SRR327910 TBN327601:TBN327910 TLJ327601:TLJ327910 TVF327601:TVF327910 UFB327601:UFB327910 UOX327601:UOX327910 UYT327601:UYT327910 VIP327601:VIP327910 VSL327601:VSL327910 WCH327601:WCH327910 WMD327601:WMD327910 WVZ327601:WVZ327910 JN393137:JN393446 TJ393137:TJ393446 ADF393137:ADF393446 ANB393137:ANB393446 AWX393137:AWX393446 BGT393137:BGT393446 BQP393137:BQP393446 CAL393137:CAL393446 CKH393137:CKH393446 CUD393137:CUD393446 DDZ393137:DDZ393446 DNV393137:DNV393446 DXR393137:DXR393446 EHN393137:EHN393446 ERJ393137:ERJ393446 FBF393137:FBF393446 FLB393137:FLB393446 FUX393137:FUX393446 GET393137:GET393446 GOP393137:GOP393446 GYL393137:GYL393446 HIH393137:HIH393446 HSD393137:HSD393446 IBZ393137:IBZ393446 ILV393137:ILV393446 IVR393137:IVR393446 JFN393137:JFN393446 JPJ393137:JPJ393446 JZF393137:JZF393446 KJB393137:KJB393446 KSX393137:KSX393446 LCT393137:LCT393446 LMP393137:LMP393446 LWL393137:LWL393446 MGH393137:MGH393446 MQD393137:MQD393446 MZZ393137:MZZ393446 NJV393137:NJV393446 NTR393137:NTR393446 ODN393137:ODN393446 ONJ393137:ONJ393446 OXF393137:OXF393446 PHB393137:PHB393446 PQX393137:PQX393446 QAT393137:QAT393446 QKP393137:QKP393446 QUL393137:QUL393446 REH393137:REH393446 ROD393137:ROD393446 RXZ393137:RXZ393446 SHV393137:SHV393446 SRR393137:SRR393446 TBN393137:TBN393446 TLJ393137:TLJ393446 TVF393137:TVF393446 UFB393137:UFB393446 UOX393137:UOX393446 UYT393137:UYT393446 VIP393137:VIP393446 VSL393137:VSL393446 WCH393137:WCH393446 WMD393137:WMD393446 WVZ393137:WVZ393446 JN458673:JN458982 TJ458673:TJ458982 ADF458673:ADF458982 ANB458673:ANB458982 AWX458673:AWX458982 BGT458673:BGT458982 BQP458673:BQP458982 CAL458673:CAL458982 CKH458673:CKH458982 CUD458673:CUD458982 DDZ458673:DDZ458982 DNV458673:DNV458982 DXR458673:DXR458982 EHN458673:EHN458982 ERJ458673:ERJ458982 FBF458673:FBF458982 FLB458673:FLB458982 FUX458673:FUX458982 GET458673:GET458982 GOP458673:GOP458982 GYL458673:GYL458982 HIH458673:HIH458982 HSD458673:HSD458982 IBZ458673:IBZ458982 ILV458673:ILV458982 IVR458673:IVR458982 JFN458673:JFN458982 JPJ458673:JPJ458982 JZF458673:JZF458982 KJB458673:KJB458982 KSX458673:KSX458982 LCT458673:LCT458982 LMP458673:LMP458982 LWL458673:LWL458982 MGH458673:MGH458982 MQD458673:MQD458982 MZZ458673:MZZ458982 NJV458673:NJV458982 NTR458673:NTR458982 ODN458673:ODN458982 ONJ458673:ONJ458982 OXF458673:OXF458982 PHB458673:PHB458982 PQX458673:PQX458982 QAT458673:QAT458982 QKP458673:QKP458982 QUL458673:QUL458982 REH458673:REH458982 ROD458673:ROD458982 RXZ458673:RXZ458982 SHV458673:SHV458982 SRR458673:SRR458982 TBN458673:TBN458982 TLJ458673:TLJ458982 TVF458673:TVF458982 UFB458673:UFB458982 UOX458673:UOX458982 UYT458673:UYT458982 VIP458673:VIP458982 VSL458673:VSL458982 WCH458673:WCH458982 WMD458673:WMD458982 WVZ458673:WVZ458982 JN524209:JN524518 TJ524209:TJ524518 ADF524209:ADF524518 ANB524209:ANB524518 AWX524209:AWX524518 BGT524209:BGT524518 BQP524209:BQP524518 CAL524209:CAL524518 CKH524209:CKH524518 CUD524209:CUD524518 DDZ524209:DDZ524518 DNV524209:DNV524518 DXR524209:DXR524518 EHN524209:EHN524518 ERJ524209:ERJ524518 FBF524209:FBF524518 FLB524209:FLB524518 FUX524209:FUX524518 GET524209:GET524518 GOP524209:GOP524518 GYL524209:GYL524518 HIH524209:HIH524518 HSD524209:HSD524518 IBZ524209:IBZ524518 ILV524209:ILV524518 IVR524209:IVR524518 JFN524209:JFN524518 JPJ524209:JPJ524518 JZF524209:JZF524518 KJB524209:KJB524518 KSX524209:KSX524518 LCT524209:LCT524518 LMP524209:LMP524518 LWL524209:LWL524518 MGH524209:MGH524518 MQD524209:MQD524518 MZZ524209:MZZ524518 NJV524209:NJV524518 NTR524209:NTR524518 ODN524209:ODN524518 ONJ524209:ONJ524518 OXF524209:OXF524518 PHB524209:PHB524518 PQX524209:PQX524518 QAT524209:QAT524518 QKP524209:QKP524518 QUL524209:QUL524518 REH524209:REH524518 ROD524209:ROD524518 RXZ524209:RXZ524518 SHV524209:SHV524518 SRR524209:SRR524518 TBN524209:TBN524518 TLJ524209:TLJ524518 TVF524209:TVF524518 UFB524209:UFB524518 UOX524209:UOX524518 UYT524209:UYT524518 VIP524209:VIP524518 VSL524209:VSL524518 WCH524209:WCH524518 WMD524209:WMD524518 WVZ524209:WVZ524518 JN589745:JN590054 TJ589745:TJ590054 ADF589745:ADF590054 ANB589745:ANB590054 AWX589745:AWX590054 BGT589745:BGT590054 BQP589745:BQP590054 CAL589745:CAL590054 CKH589745:CKH590054 CUD589745:CUD590054 DDZ589745:DDZ590054 DNV589745:DNV590054 DXR589745:DXR590054 EHN589745:EHN590054 ERJ589745:ERJ590054 FBF589745:FBF590054 FLB589745:FLB590054 FUX589745:FUX590054 GET589745:GET590054 GOP589745:GOP590054 GYL589745:GYL590054 HIH589745:HIH590054 HSD589745:HSD590054 IBZ589745:IBZ590054 ILV589745:ILV590054 IVR589745:IVR590054 JFN589745:JFN590054 JPJ589745:JPJ590054 JZF589745:JZF590054 KJB589745:KJB590054 KSX589745:KSX590054 LCT589745:LCT590054 LMP589745:LMP590054 LWL589745:LWL590054 MGH589745:MGH590054 MQD589745:MQD590054 MZZ589745:MZZ590054 NJV589745:NJV590054 NTR589745:NTR590054 ODN589745:ODN590054 ONJ589745:ONJ590054 OXF589745:OXF590054 PHB589745:PHB590054 PQX589745:PQX590054 QAT589745:QAT590054 QKP589745:QKP590054 QUL589745:QUL590054 REH589745:REH590054 ROD589745:ROD590054 RXZ589745:RXZ590054 SHV589745:SHV590054 SRR589745:SRR590054 TBN589745:TBN590054 TLJ589745:TLJ590054 TVF589745:TVF590054 UFB589745:UFB590054 UOX589745:UOX590054 UYT589745:UYT590054 VIP589745:VIP590054 VSL589745:VSL590054 WCH589745:WCH590054 WMD589745:WMD590054 WVZ589745:WVZ590054 JN655281:JN655590 TJ655281:TJ655590 ADF655281:ADF655590 ANB655281:ANB655590 AWX655281:AWX655590 BGT655281:BGT655590 BQP655281:BQP655590 CAL655281:CAL655590 CKH655281:CKH655590 CUD655281:CUD655590 DDZ655281:DDZ655590 DNV655281:DNV655590 DXR655281:DXR655590 EHN655281:EHN655590 ERJ655281:ERJ655590 FBF655281:FBF655590 FLB655281:FLB655590 FUX655281:FUX655590 GET655281:GET655590 GOP655281:GOP655590 GYL655281:GYL655590 HIH655281:HIH655590 HSD655281:HSD655590 IBZ655281:IBZ655590 ILV655281:ILV655590 IVR655281:IVR655590 JFN655281:JFN655590 JPJ655281:JPJ655590 JZF655281:JZF655590 KJB655281:KJB655590 KSX655281:KSX655590 LCT655281:LCT655590 LMP655281:LMP655590 LWL655281:LWL655590 MGH655281:MGH655590 MQD655281:MQD655590 MZZ655281:MZZ655590 NJV655281:NJV655590 NTR655281:NTR655590 ODN655281:ODN655590 ONJ655281:ONJ655590 OXF655281:OXF655590 PHB655281:PHB655590 PQX655281:PQX655590 QAT655281:QAT655590 QKP655281:QKP655590 QUL655281:QUL655590 REH655281:REH655590 ROD655281:ROD655590 RXZ655281:RXZ655590 SHV655281:SHV655590 SRR655281:SRR655590 TBN655281:TBN655590 TLJ655281:TLJ655590 TVF655281:TVF655590 UFB655281:UFB655590 UOX655281:UOX655590 UYT655281:UYT655590 VIP655281:VIP655590 VSL655281:VSL655590 WCH655281:WCH655590 WMD655281:WMD655590 WVZ655281:WVZ655590 JN720817:JN721126 TJ720817:TJ721126 ADF720817:ADF721126 ANB720817:ANB721126 AWX720817:AWX721126 BGT720817:BGT721126 BQP720817:BQP721126 CAL720817:CAL721126 CKH720817:CKH721126 CUD720817:CUD721126 DDZ720817:DDZ721126 DNV720817:DNV721126 DXR720817:DXR721126 EHN720817:EHN721126 ERJ720817:ERJ721126 FBF720817:FBF721126 FLB720817:FLB721126 FUX720817:FUX721126 GET720817:GET721126 GOP720817:GOP721126 GYL720817:GYL721126 HIH720817:HIH721126 HSD720817:HSD721126 IBZ720817:IBZ721126 ILV720817:ILV721126 IVR720817:IVR721126 JFN720817:JFN721126 JPJ720817:JPJ721126 JZF720817:JZF721126 KJB720817:KJB721126 KSX720817:KSX721126 LCT720817:LCT721126 LMP720817:LMP721126 LWL720817:LWL721126 MGH720817:MGH721126 MQD720817:MQD721126 MZZ720817:MZZ721126 NJV720817:NJV721126 NTR720817:NTR721126 ODN720817:ODN721126 ONJ720817:ONJ721126 OXF720817:OXF721126 PHB720817:PHB721126 PQX720817:PQX721126 QAT720817:QAT721126 QKP720817:QKP721126 QUL720817:QUL721126 REH720817:REH721126 ROD720817:ROD721126 RXZ720817:RXZ721126 SHV720817:SHV721126 SRR720817:SRR721126 TBN720817:TBN721126 TLJ720817:TLJ721126 TVF720817:TVF721126 UFB720817:UFB721126 UOX720817:UOX721126 UYT720817:UYT721126 VIP720817:VIP721126 VSL720817:VSL721126 WCH720817:WCH721126 WMD720817:WMD721126 WVZ720817:WVZ721126 JN786353:JN786662 TJ786353:TJ786662 ADF786353:ADF786662 ANB786353:ANB786662 AWX786353:AWX786662 BGT786353:BGT786662 BQP786353:BQP786662 CAL786353:CAL786662 CKH786353:CKH786662 CUD786353:CUD786662 DDZ786353:DDZ786662 DNV786353:DNV786662 DXR786353:DXR786662 EHN786353:EHN786662 ERJ786353:ERJ786662 FBF786353:FBF786662 FLB786353:FLB786662 FUX786353:FUX786662 GET786353:GET786662 GOP786353:GOP786662 GYL786353:GYL786662 HIH786353:HIH786662 HSD786353:HSD786662 IBZ786353:IBZ786662 ILV786353:ILV786662 IVR786353:IVR786662 JFN786353:JFN786662 JPJ786353:JPJ786662 JZF786353:JZF786662 KJB786353:KJB786662 KSX786353:KSX786662 LCT786353:LCT786662 LMP786353:LMP786662 LWL786353:LWL786662 MGH786353:MGH786662 MQD786353:MQD786662 MZZ786353:MZZ786662 NJV786353:NJV786662 NTR786353:NTR786662 ODN786353:ODN786662 ONJ786353:ONJ786662 OXF786353:OXF786662 PHB786353:PHB786662 PQX786353:PQX786662 QAT786353:QAT786662 QKP786353:QKP786662 QUL786353:QUL786662 REH786353:REH786662 ROD786353:ROD786662 RXZ786353:RXZ786662 SHV786353:SHV786662 SRR786353:SRR786662 TBN786353:TBN786662 TLJ786353:TLJ786662 TVF786353:TVF786662 UFB786353:UFB786662 UOX786353:UOX786662 UYT786353:UYT786662 VIP786353:VIP786662 VSL786353:VSL786662 WCH786353:WCH786662 WMD786353:WMD786662 WVZ786353:WVZ786662 JN851889:JN852198 TJ851889:TJ852198 ADF851889:ADF852198 ANB851889:ANB852198 AWX851889:AWX852198 BGT851889:BGT852198 BQP851889:BQP852198 CAL851889:CAL852198 CKH851889:CKH852198 CUD851889:CUD852198 DDZ851889:DDZ852198 DNV851889:DNV852198 DXR851889:DXR852198 EHN851889:EHN852198 ERJ851889:ERJ852198 FBF851889:FBF852198 FLB851889:FLB852198 FUX851889:FUX852198 GET851889:GET852198 GOP851889:GOP852198 GYL851889:GYL852198 HIH851889:HIH852198 HSD851889:HSD852198 IBZ851889:IBZ852198 ILV851889:ILV852198 IVR851889:IVR852198 JFN851889:JFN852198 JPJ851889:JPJ852198 JZF851889:JZF852198 KJB851889:KJB852198 KSX851889:KSX852198 LCT851889:LCT852198 LMP851889:LMP852198 LWL851889:LWL852198 MGH851889:MGH852198 MQD851889:MQD852198 MZZ851889:MZZ852198 NJV851889:NJV852198 NTR851889:NTR852198 ODN851889:ODN852198 ONJ851889:ONJ852198 OXF851889:OXF852198 PHB851889:PHB852198 PQX851889:PQX852198 QAT851889:QAT852198 QKP851889:QKP852198 QUL851889:QUL852198 REH851889:REH852198 ROD851889:ROD852198 RXZ851889:RXZ852198 SHV851889:SHV852198 SRR851889:SRR852198 TBN851889:TBN852198 TLJ851889:TLJ852198 TVF851889:TVF852198 UFB851889:UFB852198 UOX851889:UOX852198 UYT851889:UYT852198 VIP851889:VIP852198 VSL851889:VSL852198 WCH851889:WCH852198 WMD851889:WMD852198 WVZ851889:WVZ852198 JN917425:JN917734 TJ917425:TJ917734 ADF917425:ADF917734 ANB917425:ANB917734 AWX917425:AWX917734 BGT917425:BGT917734 BQP917425:BQP917734 CAL917425:CAL917734 CKH917425:CKH917734 CUD917425:CUD917734 DDZ917425:DDZ917734 DNV917425:DNV917734 DXR917425:DXR917734 EHN917425:EHN917734 ERJ917425:ERJ917734 FBF917425:FBF917734 FLB917425:FLB917734 FUX917425:FUX917734 GET917425:GET917734 GOP917425:GOP917734 GYL917425:GYL917734 HIH917425:HIH917734 HSD917425:HSD917734 IBZ917425:IBZ917734 ILV917425:ILV917734 IVR917425:IVR917734 JFN917425:JFN917734 JPJ917425:JPJ917734 JZF917425:JZF917734 KJB917425:KJB917734 KSX917425:KSX917734 LCT917425:LCT917734 LMP917425:LMP917734 LWL917425:LWL917734 MGH917425:MGH917734 MQD917425:MQD917734 MZZ917425:MZZ917734 NJV917425:NJV917734 NTR917425:NTR917734 ODN917425:ODN917734 ONJ917425:ONJ917734 OXF917425:OXF917734 PHB917425:PHB917734 PQX917425:PQX917734 QAT917425:QAT917734 QKP917425:QKP917734 QUL917425:QUL917734 REH917425:REH917734 ROD917425:ROD917734 RXZ917425:RXZ917734 SHV917425:SHV917734 SRR917425:SRR917734 TBN917425:TBN917734 TLJ917425:TLJ917734 TVF917425:TVF917734 UFB917425:UFB917734 UOX917425:UOX917734 UYT917425:UYT917734 VIP917425:VIP917734 VSL917425:VSL917734 WCH917425:WCH917734 WMD917425:WMD917734 WVZ917425:WVZ917734 JN982961:JN983270 TJ982961:TJ983270 ADF982961:ADF983270 ANB982961:ANB983270 AWX982961:AWX983270 BGT982961:BGT983270 BQP982961:BQP983270 CAL982961:CAL983270 CKH982961:CKH983270 CUD982961:CUD983270 DDZ982961:DDZ983270 DNV982961:DNV983270 DXR982961:DXR983270 EHN982961:EHN983270 ERJ982961:ERJ983270 FBF982961:FBF983270 FLB982961:FLB983270 FUX982961:FUX983270 GET982961:GET983270 GOP982961:GOP983270 GYL982961:GYL983270 HIH982961:HIH983270 HSD982961:HSD983270 IBZ982961:IBZ983270 ILV982961:ILV983270 IVR982961:IVR983270 JFN982961:JFN983270 JPJ982961:JPJ983270 JZF982961:JZF983270 KJB982961:KJB983270 KSX982961:KSX983270 LCT982961:LCT983270 LMP982961:LMP983270 LWL982961:LWL983270 MGH982961:MGH983270 MQD982961:MQD983270 MZZ982961:MZZ983270 NJV982961:NJV983270 NTR982961:NTR983270 ODN982961:ODN983270 ONJ982961:ONJ983270 OXF982961:OXF983270 PHB982961:PHB983270 PQX982961:PQX983270 QAT982961:QAT983270 QKP982961:QKP983270 QUL982961:QUL983270 REH982961:REH983270 ROD982961:ROD983270 RXZ982961:RXZ983270 SHV982961:SHV983270 SRR982961:SRR983270 TBN982961:TBN983270 TLJ982961:TLJ983270 TVF982961:TVF983270 UFB982961:UFB983270 UOX982961:UOX983270 UYT982961:UYT983270 VIP982961:VIP983270 VSL982961:VSL983270 WCH982961:WCH983270 WMD982961:WMD983270 WVZ982961:WVZ983270 JN65769:JN66082 TJ65769:TJ66082 ADF65769:ADF66082 ANB65769:ANB66082 AWX65769:AWX66082 BGT65769:BGT66082 BQP65769:BQP66082 CAL65769:CAL66082 CKH65769:CKH66082 CUD65769:CUD66082 DDZ65769:DDZ66082 DNV65769:DNV66082 DXR65769:DXR66082 EHN65769:EHN66082 ERJ65769:ERJ66082 FBF65769:FBF66082 FLB65769:FLB66082 FUX65769:FUX66082 GET65769:GET66082 GOP65769:GOP66082 GYL65769:GYL66082 HIH65769:HIH66082 HSD65769:HSD66082 IBZ65769:IBZ66082 ILV65769:ILV66082 IVR65769:IVR66082 JFN65769:JFN66082 JPJ65769:JPJ66082 JZF65769:JZF66082 KJB65769:KJB66082 KSX65769:KSX66082 LCT65769:LCT66082 LMP65769:LMP66082 LWL65769:LWL66082 MGH65769:MGH66082 MQD65769:MQD66082 MZZ65769:MZZ66082 NJV65769:NJV66082 NTR65769:NTR66082 ODN65769:ODN66082 ONJ65769:ONJ66082 OXF65769:OXF66082 PHB65769:PHB66082 PQX65769:PQX66082 QAT65769:QAT66082 QKP65769:QKP66082 QUL65769:QUL66082 REH65769:REH66082 ROD65769:ROD66082 RXZ65769:RXZ66082 SHV65769:SHV66082 SRR65769:SRR66082 TBN65769:TBN66082 TLJ65769:TLJ66082 TVF65769:TVF66082 UFB65769:UFB66082 UOX65769:UOX66082 UYT65769:UYT66082 VIP65769:VIP66082 VSL65769:VSL66082 WCH65769:WCH66082 WMD65769:WMD66082 WVZ65769:WVZ66082 JN131305:JN131618 TJ131305:TJ131618 ADF131305:ADF131618 ANB131305:ANB131618 AWX131305:AWX131618 BGT131305:BGT131618 BQP131305:BQP131618 CAL131305:CAL131618 CKH131305:CKH131618 CUD131305:CUD131618 DDZ131305:DDZ131618 DNV131305:DNV131618 DXR131305:DXR131618 EHN131305:EHN131618 ERJ131305:ERJ131618 FBF131305:FBF131618 FLB131305:FLB131618 FUX131305:FUX131618 GET131305:GET131618 GOP131305:GOP131618 GYL131305:GYL131618 HIH131305:HIH131618 HSD131305:HSD131618 IBZ131305:IBZ131618 ILV131305:ILV131618 IVR131305:IVR131618 JFN131305:JFN131618 JPJ131305:JPJ131618 JZF131305:JZF131618 KJB131305:KJB131618 KSX131305:KSX131618 LCT131305:LCT131618 LMP131305:LMP131618 LWL131305:LWL131618 MGH131305:MGH131618 MQD131305:MQD131618 MZZ131305:MZZ131618 NJV131305:NJV131618 NTR131305:NTR131618 ODN131305:ODN131618 ONJ131305:ONJ131618 OXF131305:OXF131618 PHB131305:PHB131618 PQX131305:PQX131618 QAT131305:QAT131618 QKP131305:QKP131618 QUL131305:QUL131618 REH131305:REH131618 ROD131305:ROD131618 RXZ131305:RXZ131618 SHV131305:SHV131618 SRR131305:SRR131618 TBN131305:TBN131618 TLJ131305:TLJ131618 TVF131305:TVF131618 UFB131305:UFB131618 UOX131305:UOX131618 UYT131305:UYT131618 VIP131305:VIP131618 VSL131305:VSL131618 WCH131305:WCH131618 WMD131305:WMD131618 WVZ131305:WVZ131618 JN196841:JN197154 TJ196841:TJ197154 ADF196841:ADF197154 ANB196841:ANB197154 AWX196841:AWX197154 BGT196841:BGT197154 BQP196841:BQP197154 CAL196841:CAL197154 CKH196841:CKH197154 CUD196841:CUD197154 DDZ196841:DDZ197154 DNV196841:DNV197154 DXR196841:DXR197154 EHN196841:EHN197154 ERJ196841:ERJ197154 FBF196841:FBF197154 FLB196841:FLB197154 FUX196841:FUX197154 GET196841:GET197154 GOP196841:GOP197154 GYL196841:GYL197154 HIH196841:HIH197154 HSD196841:HSD197154 IBZ196841:IBZ197154 ILV196841:ILV197154 IVR196841:IVR197154 JFN196841:JFN197154 JPJ196841:JPJ197154 JZF196841:JZF197154 KJB196841:KJB197154 KSX196841:KSX197154 LCT196841:LCT197154 LMP196841:LMP197154 LWL196841:LWL197154 MGH196841:MGH197154 MQD196841:MQD197154 MZZ196841:MZZ197154 NJV196841:NJV197154 NTR196841:NTR197154 ODN196841:ODN197154 ONJ196841:ONJ197154 OXF196841:OXF197154 PHB196841:PHB197154 PQX196841:PQX197154 QAT196841:QAT197154 QKP196841:QKP197154 QUL196841:QUL197154 REH196841:REH197154 ROD196841:ROD197154 RXZ196841:RXZ197154 SHV196841:SHV197154 SRR196841:SRR197154 TBN196841:TBN197154 TLJ196841:TLJ197154 TVF196841:TVF197154 UFB196841:UFB197154 UOX196841:UOX197154 UYT196841:UYT197154 VIP196841:VIP197154 VSL196841:VSL197154 WCH196841:WCH197154 WMD196841:WMD197154 WVZ196841:WVZ197154 JN262377:JN262690 TJ262377:TJ262690 ADF262377:ADF262690 ANB262377:ANB262690 AWX262377:AWX262690 BGT262377:BGT262690 BQP262377:BQP262690 CAL262377:CAL262690 CKH262377:CKH262690 CUD262377:CUD262690 DDZ262377:DDZ262690 DNV262377:DNV262690 DXR262377:DXR262690 EHN262377:EHN262690 ERJ262377:ERJ262690 FBF262377:FBF262690 FLB262377:FLB262690 FUX262377:FUX262690 GET262377:GET262690 GOP262377:GOP262690 GYL262377:GYL262690 HIH262377:HIH262690 HSD262377:HSD262690 IBZ262377:IBZ262690 ILV262377:ILV262690 IVR262377:IVR262690 JFN262377:JFN262690 JPJ262377:JPJ262690 JZF262377:JZF262690 KJB262377:KJB262690 KSX262377:KSX262690 LCT262377:LCT262690 LMP262377:LMP262690 LWL262377:LWL262690 MGH262377:MGH262690 MQD262377:MQD262690 MZZ262377:MZZ262690 NJV262377:NJV262690 NTR262377:NTR262690 ODN262377:ODN262690 ONJ262377:ONJ262690 OXF262377:OXF262690 PHB262377:PHB262690 PQX262377:PQX262690 QAT262377:QAT262690 QKP262377:QKP262690 QUL262377:QUL262690 REH262377:REH262690 ROD262377:ROD262690 RXZ262377:RXZ262690 SHV262377:SHV262690 SRR262377:SRR262690 TBN262377:TBN262690 TLJ262377:TLJ262690 TVF262377:TVF262690 UFB262377:UFB262690 UOX262377:UOX262690 UYT262377:UYT262690 VIP262377:VIP262690 VSL262377:VSL262690 WCH262377:WCH262690 WMD262377:WMD262690 WVZ262377:WVZ262690 JN327913:JN328226 TJ327913:TJ328226 ADF327913:ADF328226 ANB327913:ANB328226 AWX327913:AWX328226 BGT327913:BGT328226 BQP327913:BQP328226 CAL327913:CAL328226 CKH327913:CKH328226 CUD327913:CUD328226 DDZ327913:DDZ328226 DNV327913:DNV328226 DXR327913:DXR328226 EHN327913:EHN328226 ERJ327913:ERJ328226 FBF327913:FBF328226 FLB327913:FLB328226 FUX327913:FUX328226 GET327913:GET328226 GOP327913:GOP328226 GYL327913:GYL328226 HIH327913:HIH328226 HSD327913:HSD328226 IBZ327913:IBZ328226 ILV327913:ILV328226 IVR327913:IVR328226 JFN327913:JFN328226 JPJ327913:JPJ328226 JZF327913:JZF328226 KJB327913:KJB328226 KSX327913:KSX328226 LCT327913:LCT328226 LMP327913:LMP328226 LWL327913:LWL328226 MGH327913:MGH328226 MQD327913:MQD328226 MZZ327913:MZZ328226 NJV327913:NJV328226 NTR327913:NTR328226 ODN327913:ODN328226 ONJ327913:ONJ328226 OXF327913:OXF328226 PHB327913:PHB328226 PQX327913:PQX328226 QAT327913:QAT328226 QKP327913:QKP328226 QUL327913:QUL328226 REH327913:REH328226 ROD327913:ROD328226 RXZ327913:RXZ328226 SHV327913:SHV328226 SRR327913:SRR328226 TBN327913:TBN328226 TLJ327913:TLJ328226 TVF327913:TVF328226 UFB327913:UFB328226 UOX327913:UOX328226 UYT327913:UYT328226 VIP327913:VIP328226 VSL327913:VSL328226 WCH327913:WCH328226 WMD327913:WMD328226 WVZ327913:WVZ328226 JN393449:JN393762 TJ393449:TJ393762 ADF393449:ADF393762 ANB393449:ANB393762 AWX393449:AWX393762 BGT393449:BGT393762 BQP393449:BQP393762 CAL393449:CAL393762 CKH393449:CKH393762 CUD393449:CUD393762 DDZ393449:DDZ393762 DNV393449:DNV393762 DXR393449:DXR393762 EHN393449:EHN393762 ERJ393449:ERJ393762 FBF393449:FBF393762 FLB393449:FLB393762 FUX393449:FUX393762 GET393449:GET393762 GOP393449:GOP393762 GYL393449:GYL393762 HIH393449:HIH393762 HSD393449:HSD393762 IBZ393449:IBZ393762 ILV393449:ILV393762 IVR393449:IVR393762 JFN393449:JFN393762 JPJ393449:JPJ393762 JZF393449:JZF393762 KJB393449:KJB393762 KSX393449:KSX393762 LCT393449:LCT393762 LMP393449:LMP393762 LWL393449:LWL393762 MGH393449:MGH393762 MQD393449:MQD393762 MZZ393449:MZZ393762 NJV393449:NJV393762 NTR393449:NTR393762 ODN393449:ODN393762 ONJ393449:ONJ393762 OXF393449:OXF393762 PHB393449:PHB393762 PQX393449:PQX393762 QAT393449:QAT393762 QKP393449:QKP393762 QUL393449:QUL393762 REH393449:REH393762 ROD393449:ROD393762 RXZ393449:RXZ393762 SHV393449:SHV393762 SRR393449:SRR393762 TBN393449:TBN393762 TLJ393449:TLJ393762 TVF393449:TVF393762 UFB393449:UFB393762 UOX393449:UOX393762 UYT393449:UYT393762 VIP393449:VIP393762 VSL393449:VSL393762 WCH393449:WCH393762 WMD393449:WMD393762 WVZ393449:WVZ393762 JN458985:JN459298 TJ458985:TJ459298 ADF458985:ADF459298 ANB458985:ANB459298 AWX458985:AWX459298 BGT458985:BGT459298 BQP458985:BQP459298 CAL458985:CAL459298 CKH458985:CKH459298 CUD458985:CUD459298 DDZ458985:DDZ459298 DNV458985:DNV459298 DXR458985:DXR459298 EHN458985:EHN459298 ERJ458985:ERJ459298 FBF458985:FBF459298 FLB458985:FLB459298 FUX458985:FUX459298 GET458985:GET459298 GOP458985:GOP459298 GYL458985:GYL459298 HIH458985:HIH459298 HSD458985:HSD459298 IBZ458985:IBZ459298 ILV458985:ILV459298 IVR458985:IVR459298 JFN458985:JFN459298 JPJ458985:JPJ459298 JZF458985:JZF459298 KJB458985:KJB459298 KSX458985:KSX459298 LCT458985:LCT459298 LMP458985:LMP459298 LWL458985:LWL459298 MGH458985:MGH459298 MQD458985:MQD459298 MZZ458985:MZZ459298 NJV458985:NJV459298 NTR458985:NTR459298 ODN458985:ODN459298 ONJ458985:ONJ459298 OXF458985:OXF459298 PHB458985:PHB459298 PQX458985:PQX459298 QAT458985:QAT459298 QKP458985:QKP459298 QUL458985:QUL459298 REH458985:REH459298 ROD458985:ROD459298 RXZ458985:RXZ459298 SHV458985:SHV459298 SRR458985:SRR459298 TBN458985:TBN459298 TLJ458985:TLJ459298 TVF458985:TVF459298 UFB458985:UFB459298 UOX458985:UOX459298 UYT458985:UYT459298 VIP458985:VIP459298 VSL458985:VSL459298 WCH458985:WCH459298 WMD458985:WMD459298 WVZ458985:WVZ459298 JN524521:JN524834 TJ524521:TJ524834 ADF524521:ADF524834 ANB524521:ANB524834 AWX524521:AWX524834 BGT524521:BGT524834 BQP524521:BQP524834 CAL524521:CAL524834 CKH524521:CKH524834 CUD524521:CUD524834 DDZ524521:DDZ524834 DNV524521:DNV524834 DXR524521:DXR524834 EHN524521:EHN524834 ERJ524521:ERJ524834 FBF524521:FBF524834 FLB524521:FLB524834 FUX524521:FUX524834 GET524521:GET524834 GOP524521:GOP524834 GYL524521:GYL524834 HIH524521:HIH524834 HSD524521:HSD524834 IBZ524521:IBZ524834 ILV524521:ILV524834 IVR524521:IVR524834 JFN524521:JFN524834 JPJ524521:JPJ524834 JZF524521:JZF524834 KJB524521:KJB524834 KSX524521:KSX524834 LCT524521:LCT524834 LMP524521:LMP524834 LWL524521:LWL524834 MGH524521:MGH524834 MQD524521:MQD524834 MZZ524521:MZZ524834 NJV524521:NJV524834 NTR524521:NTR524834 ODN524521:ODN524834 ONJ524521:ONJ524834 OXF524521:OXF524834 PHB524521:PHB524834 PQX524521:PQX524834 QAT524521:QAT524834 QKP524521:QKP524834 QUL524521:QUL524834 REH524521:REH524834 ROD524521:ROD524834 RXZ524521:RXZ524834 SHV524521:SHV524834 SRR524521:SRR524834 TBN524521:TBN524834 TLJ524521:TLJ524834 TVF524521:TVF524834 UFB524521:UFB524834 UOX524521:UOX524834 UYT524521:UYT524834 VIP524521:VIP524834 VSL524521:VSL524834 WCH524521:WCH524834 WMD524521:WMD524834 WVZ524521:WVZ524834 JN590057:JN590370 TJ590057:TJ590370 ADF590057:ADF590370 ANB590057:ANB590370 AWX590057:AWX590370 BGT590057:BGT590370 BQP590057:BQP590370 CAL590057:CAL590370 CKH590057:CKH590370 CUD590057:CUD590370 DDZ590057:DDZ590370 DNV590057:DNV590370 DXR590057:DXR590370 EHN590057:EHN590370 ERJ590057:ERJ590370 FBF590057:FBF590370 FLB590057:FLB590370 FUX590057:FUX590370 GET590057:GET590370 GOP590057:GOP590370 GYL590057:GYL590370 HIH590057:HIH590370 HSD590057:HSD590370 IBZ590057:IBZ590370 ILV590057:ILV590370 IVR590057:IVR590370 JFN590057:JFN590370 JPJ590057:JPJ590370 JZF590057:JZF590370 KJB590057:KJB590370 KSX590057:KSX590370 LCT590057:LCT590370 LMP590057:LMP590370 LWL590057:LWL590370 MGH590057:MGH590370 MQD590057:MQD590370 MZZ590057:MZZ590370 NJV590057:NJV590370 NTR590057:NTR590370 ODN590057:ODN590370 ONJ590057:ONJ590370 OXF590057:OXF590370 PHB590057:PHB590370 PQX590057:PQX590370 QAT590057:QAT590370 QKP590057:QKP590370 QUL590057:QUL590370 REH590057:REH590370 ROD590057:ROD590370 RXZ590057:RXZ590370 SHV590057:SHV590370 SRR590057:SRR590370 TBN590057:TBN590370 TLJ590057:TLJ590370 TVF590057:TVF590370 UFB590057:UFB590370 UOX590057:UOX590370 UYT590057:UYT590370 VIP590057:VIP590370 VSL590057:VSL590370 WCH590057:WCH590370 WMD590057:WMD590370 WVZ590057:WVZ590370 JN655593:JN655906 TJ655593:TJ655906 ADF655593:ADF655906 ANB655593:ANB655906 AWX655593:AWX655906 BGT655593:BGT655906 BQP655593:BQP655906 CAL655593:CAL655906 CKH655593:CKH655906 CUD655593:CUD655906 DDZ655593:DDZ655906 DNV655593:DNV655906 DXR655593:DXR655906 EHN655593:EHN655906 ERJ655593:ERJ655906 FBF655593:FBF655906 FLB655593:FLB655906 FUX655593:FUX655906 GET655593:GET655906 GOP655593:GOP655906 GYL655593:GYL655906 HIH655593:HIH655906 HSD655593:HSD655906 IBZ655593:IBZ655906 ILV655593:ILV655906 IVR655593:IVR655906 JFN655593:JFN655906 JPJ655593:JPJ655906 JZF655593:JZF655906 KJB655593:KJB655906 KSX655593:KSX655906 LCT655593:LCT655906 LMP655593:LMP655906 LWL655593:LWL655906 MGH655593:MGH655906 MQD655593:MQD655906 MZZ655593:MZZ655906 NJV655593:NJV655906 NTR655593:NTR655906 ODN655593:ODN655906 ONJ655593:ONJ655906 OXF655593:OXF655906 PHB655593:PHB655906 PQX655593:PQX655906 QAT655593:QAT655906 QKP655593:QKP655906 QUL655593:QUL655906 REH655593:REH655906 ROD655593:ROD655906 RXZ655593:RXZ655906 SHV655593:SHV655906 SRR655593:SRR655906 TBN655593:TBN655906 TLJ655593:TLJ655906 TVF655593:TVF655906 UFB655593:UFB655906 UOX655593:UOX655906 UYT655593:UYT655906 VIP655593:VIP655906 VSL655593:VSL655906 WCH655593:WCH655906 WMD655593:WMD655906 WVZ655593:WVZ655906 JN721129:JN721442 TJ721129:TJ721442 ADF721129:ADF721442 ANB721129:ANB721442 AWX721129:AWX721442 BGT721129:BGT721442 BQP721129:BQP721442 CAL721129:CAL721442 CKH721129:CKH721442 CUD721129:CUD721442 DDZ721129:DDZ721442 DNV721129:DNV721442 DXR721129:DXR721442 EHN721129:EHN721442 ERJ721129:ERJ721442 FBF721129:FBF721442 FLB721129:FLB721442 FUX721129:FUX721442 GET721129:GET721442 GOP721129:GOP721442 GYL721129:GYL721442 HIH721129:HIH721442 HSD721129:HSD721442 IBZ721129:IBZ721442 ILV721129:ILV721442 IVR721129:IVR721442 JFN721129:JFN721442 JPJ721129:JPJ721442 JZF721129:JZF721442 KJB721129:KJB721442 KSX721129:KSX721442 LCT721129:LCT721442 LMP721129:LMP721442 LWL721129:LWL721442 MGH721129:MGH721442 MQD721129:MQD721442 MZZ721129:MZZ721442 NJV721129:NJV721442 NTR721129:NTR721442 ODN721129:ODN721442 ONJ721129:ONJ721442 OXF721129:OXF721442 PHB721129:PHB721442 PQX721129:PQX721442 QAT721129:QAT721442 QKP721129:QKP721442 QUL721129:QUL721442 REH721129:REH721442 ROD721129:ROD721442 RXZ721129:RXZ721442 SHV721129:SHV721442 SRR721129:SRR721442 TBN721129:TBN721442 TLJ721129:TLJ721442 TVF721129:TVF721442 UFB721129:UFB721442 UOX721129:UOX721442 UYT721129:UYT721442 VIP721129:VIP721442 VSL721129:VSL721442 WCH721129:WCH721442 WMD721129:WMD721442 WVZ721129:WVZ721442 JN786665:JN786978 TJ786665:TJ786978 ADF786665:ADF786978 ANB786665:ANB786978 AWX786665:AWX786978 BGT786665:BGT786978 BQP786665:BQP786978 CAL786665:CAL786978 CKH786665:CKH786978 CUD786665:CUD786978 DDZ786665:DDZ786978 DNV786665:DNV786978 DXR786665:DXR786978 EHN786665:EHN786978 ERJ786665:ERJ786978 FBF786665:FBF786978 FLB786665:FLB786978 FUX786665:FUX786978 GET786665:GET786978 GOP786665:GOP786978 GYL786665:GYL786978 HIH786665:HIH786978 HSD786665:HSD786978 IBZ786665:IBZ786978 ILV786665:ILV786978 IVR786665:IVR786978 JFN786665:JFN786978 JPJ786665:JPJ786978 JZF786665:JZF786978 KJB786665:KJB786978 KSX786665:KSX786978 LCT786665:LCT786978 LMP786665:LMP786978 LWL786665:LWL786978 MGH786665:MGH786978 MQD786665:MQD786978 MZZ786665:MZZ786978 NJV786665:NJV786978 NTR786665:NTR786978 ODN786665:ODN786978 ONJ786665:ONJ786978 OXF786665:OXF786978 PHB786665:PHB786978 PQX786665:PQX786978 QAT786665:QAT786978 QKP786665:QKP786978 QUL786665:QUL786978 REH786665:REH786978 ROD786665:ROD786978 RXZ786665:RXZ786978 SHV786665:SHV786978 SRR786665:SRR786978 TBN786665:TBN786978 TLJ786665:TLJ786978 TVF786665:TVF786978 UFB786665:UFB786978 UOX786665:UOX786978 UYT786665:UYT786978 VIP786665:VIP786978 VSL786665:VSL786978 WCH786665:WCH786978 WMD786665:WMD786978 WVZ786665:WVZ786978 JN852201:JN852514 TJ852201:TJ852514 ADF852201:ADF852514 ANB852201:ANB852514 AWX852201:AWX852514 BGT852201:BGT852514 BQP852201:BQP852514 CAL852201:CAL852514 CKH852201:CKH852514 CUD852201:CUD852514 DDZ852201:DDZ852514 DNV852201:DNV852514 DXR852201:DXR852514 EHN852201:EHN852514 ERJ852201:ERJ852514 FBF852201:FBF852514 FLB852201:FLB852514 FUX852201:FUX852514 GET852201:GET852514 GOP852201:GOP852514 GYL852201:GYL852514 HIH852201:HIH852514 HSD852201:HSD852514 IBZ852201:IBZ852514 ILV852201:ILV852514 IVR852201:IVR852514 JFN852201:JFN852514 JPJ852201:JPJ852514 JZF852201:JZF852514 KJB852201:KJB852514 KSX852201:KSX852514 LCT852201:LCT852514 LMP852201:LMP852514 LWL852201:LWL852514 MGH852201:MGH852514 MQD852201:MQD852514 MZZ852201:MZZ852514 NJV852201:NJV852514 NTR852201:NTR852514 ODN852201:ODN852514 ONJ852201:ONJ852514 OXF852201:OXF852514 PHB852201:PHB852514 PQX852201:PQX852514 QAT852201:QAT852514 QKP852201:QKP852514 QUL852201:QUL852514 REH852201:REH852514 ROD852201:ROD852514 RXZ852201:RXZ852514 SHV852201:SHV852514 SRR852201:SRR852514 TBN852201:TBN852514 TLJ852201:TLJ852514 TVF852201:TVF852514 UFB852201:UFB852514 UOX852201:UOX852514 UYT852201:UYT852514 VIP852201:VIP852514 VSL852201:VSL852514 WCH852201:WCH852514 WMD852201:WMD852514 WVZ852201:WVZ852514 JN917737:JN918050 TJ917737:TJ918050 ADF917737:ADF918050 ANB917737:ANB918050 AWX917737:AWX918050 BGT917737:BGT918050 BQP917737:BQP918050 CAL917737:CAL918050 CKH917737:CKH918050 CUD917737:CUD918050 DDZ917737:DDZ918050 DNV917737:DNV918050 DXR917737:DXR918050 EHN917737:EHN918050 ERJ917737:ERJ918050 FBF917737:FBF918050 FLB917737:FLB918050 FUX917737:FUX918050 GET917737:GET918050 GOP917737:GOP918050 GYL917737:GYL918050 HIH917737:HIH918050 HSD917737:HSD918050 IBZ917737:IBZ918050 ILV917737:ILV918050 IVR917737:IVR918050 JFN917737:JFN918050 JPJ917737:JPJ918050 JZF917737:JZF918050 KJB917737:KJB918050 KSX917737:KSX918050 LCT917737:LCT918050 LMP917737:LMP918050 LWL917737:LWL918050 MGH917737:MGH918050 MQD917737:MQD918050 MZZ917737:MZZ918050 NJV917737:NJV918050 NTR917737:NTR918050 ODN917737:ODN918050 ONJ917737:ONJ918050 OXF917737:OXF918050 PHB917737:PHB918050 PQX917737:PQX918050 QAT917737:QAT918050 QKP917737:QKP918050 QUL917737:QUL918050 REH917737:REH918050 ROD917737:ROD918050 RXZ917737:RXZ918050 SHV917737:SHV918050 SRR917737:SRR918050 TBN917737:TBN918050 TLJ917737:TLJ918050 TVF917737:TVF918050 UFB917737:UFB918050 UOX917737:UOX918050 UYT917737:UYT918050 VIP917737:VIP918050 VSL917737:VSL918050 WCH917737:WCH918050 WMD917737:WMD918050 WVZ917737:WVZ918050 JN983273:JN983586 TJ983273:TJ983586 ADF983273:ADF983586 ANB983273:ANB983586 AWX983273:AWX983586 BGT983273:BGT983586 BQP983273:BQP983586 CAL983273:CAL983586 CKH983273:CKH983586 CUD983273:CUD983586 DDZ983273:DDZ983586 DNV983273:DNV983586 DXR983273:DXR983586 EHN983273:EHN983586 ERJ983273:ERJ983586 FBF983273:FBF983586 FLB983273:FLB983586 FUX983273:FUX983586 GET983273:GET983586 GOP983273:GOP983586 GYL983273:GYL983586 HIH983273:HIH983586 HSD983273:HSD983586 IBZ983273:IBZ983586 ILV983273:ILV983586 IVR983273:IVR983586 JFN983273:JFN983586 JPJ983273:JPJ983586 JZF983273:JZF983586 KJB983273:KJB983586 KSX983273:KSX983586 LCT983273:LCT983586 LMP983273:LMP983586 LWL983273:LWL983586 MGH983273:MGH983586 MQD983273:MQD983586 MZZ983273:MZZ983586 NJV983273:NJV983586 NTR983273:NTR983586 ODN983273:ODN983586 ONJ983273:ONJ983586 OXF983273:OXF983586 PHB983273:PHB983586 PQX983273:PQX983586 QAT983273:QAT983586 QKP983273:QKP983586 QUL983273:QUL983586 REH983273:REH983586 ROD983273:ROD983586 RXZ983273:RXZ983586 SHV983273:SHV983586 SRR983273:SRR983586 TBN983273:TBN983586 TLJ983273:TLJ983586 TVF983273:TVF983586 UFB983273:UFB983586 UOX983273:UOX983586 UYT983273:UYT983586 VIP983273:VIP983586 VSL983273:VSL983586 WCH983273:WCH983586 WMD983273:WMD983586 JM337:JM451 JN452:JN546 TI337:TI451 TJ452:TJ546 ADE337:ADE451 ADF452:ADF546 ANA337:ANA451 ANB452:ANB546 AWW337:AWW451 AWX452:AWX546 BGS337:BGS451 BGT452:BGT546 BQO337:BQO451 BQP452:BQP546 CAK337:CAK451 CAL452:CAL546 CKG337:CKG451 CKH452:CKH546 CUC337:CUC451 CUD452:CUD546 DDY337:DDY451 DDZ452:DDZ546 DNU337:DNU451 DNV452:DNV546 DXQ337:DXQ451 DXR452:DXR546 EHM337:EHM451 EHN452:EHN546 ERI337:ERI451 ERJ452:ERJ546 FBE337:FBE451 FBF452:FBF546 FLA337:FLA451 FLB452:FLB546 FUW337:FUW451 FUX452:FUX546 GES337:GES451 GET452:GET546 GOO337:GOO451 GOP452:GOP546 GYK337:GYK451 GYL452:GYL546 HIG337:HIG451 HIH452:HIH546 HSC337:HSC451 HSD452:HSD546 IBY337:IBY451 IBZ452:IBZ546 ILU337:ILU451 ILV452:ILV546 IVQ337:IVQ451 IVR452:IVR546 JFM337:JFM451 JFN452:JFN546 JPI337:JPI451 JPJ452:JPJ546 JZE337:JZE451 JZF452:JZF546 KJA337:KJA451 KJB452:KJB546 KSW337:KSW451 KSX452:KSX546 LCS337:LCS451 LCT452:LCT546 LMO337:LMO451 LMP452:LMP546 LWK337:LWK451 LWL452:LWL546 MGG337:MGG451 MGH452:MGH546 MQC337:MQC451 MQD452:MQD546 MZY337:MZY451 MZZ452:MZZ546 NJU337:NJU451 NJV452:NJV546 NTQ337:NTQ451 NTR452:NTR546 ODM337:ODM451 ODN452:ODN546 ONI337:ONI451 ONJ452:ONJ546 OXE337:OXE451 OXF452:OXF546 PHA337:PHA451 PHB452:PHB546 PQW337:PQW451 PQX452:PQX546 QAS337:QAS451 QAT452:QAT546 QKO337:QKO451 QKP452:QKP546 QUK337:QUK451 QUL452:QUL546 REG337:REG451 REH452:REH546 ROC337:ROC451 ROD452:ROD546 RXY337:RXY451 RXZ452:RXZ546 SHU337:SHU451 SHV452:SHV546 SRQ337:SRQ451 SRR452:SRR546 TBM337:TBM451 TBN452:TBN546 TLI337:TLI451 TLJ452:TLJ546 TVE337:TVE451 TVF452:TVF546 UFA337:UFA451 UFB452:UFB546 UOW337:UOW451 UOX452:UOX546 UYS337:UYS451 UYT452:UYT546 VIO337:VIO451 VIP452:VIP546 VSK337:VSK451 VSL452:VSL546 WCG337:WCG451 WCH452:WCH546 WMC337:WMC451 WMD452:WMD546 WVY337:WVY451 WVZ452:WVZ546">
      <formula1>0</formula1>
      <formula2>2</formula2>
    </dataValidation>
    <dataValidation type="whole" allowBlank="1" showInputMessage="1" showErrorMessage="1" sqref="REF982961:REF983286 JK25:JK350 TG25:TG350 ADC25:ADC350 AMY25:AMY350 AWU25:AWU350 BGQ25:BGQ350 BQM25:BQM350 CAI25:CAI350 CKE25:CKE350 CUA25:CUA350 DDW25:DDW350 DNS25:DNS350 DXO25:DXO350 EHK25:EHK350 ERG25:ERG350 FBC25:FBC350 FKY25:FKY350 FUU25:FUU350 GEQ25:GEQ350 GOM25:GOM350 GYI25:GYI350 HIE25:HIE350 HSA25:HSA350 IBW25:IBW350 ILS25:ILS350 IVO25:IVO350 JFK25:JFK350 JPG25:JPG350 JZC25:JZC350 KIY25:KIY350 KSU25:KSU350 LCQ25:LCQ350 LMM25:LMM350 LWI25:LWI350 MGE25:MGE350 MQA25:MQA350 MZW25:MZW350 NJS25:NJS350 NTO25:NTO350 ODK25:ODK350 ONG25:ONG350 OXC25:OXC350 PGY25:PGY350 PQU25:PQU350 QAQ25:QAQ350 QKM25:QKM350 QUI25:QUI350 REE25:REE350 ROA25:ROA350 RXW25:RXW350 SHS25:SHS350 SRO25:SRO350 TBK25:TBK350 TLG25:TLG350 TVC25:TVC350 UEY25:UEY350 UOU25:UOU350 UYQ25:UYQ350 VIM25:VIM350 VSI25:VSI350 WCE25:WCE350 WMA25:WMA350 WVW25:WVW350 ROB982961:ROB983286 JL65457:JL65782 TH65457:TH65782 ADD65457:ADD65782 AMZ65457:AMZ65782 AWV65457:AWV65782 BGR65457:BGR65782 BQN65457:BQN65782 CAJ65457:CAJ65782 CKF65457:CKF65782 CUB65457:CUB65782 DDX65457:DDX65782 DNT65457:DNT65782 DXP65457:DXP65782 EHL65457:EHL65782 ERH65457:ERH65782 FBD65457:FBD65782 FKZ65457:FKZ65782 FUV65457:FUV65782 GER65457:GER65782 GON65457:GON65782 GYJ65457:GYJ65782 HIF65457:HIF65782 HSB65457:HSB65782 IBX65457:IBX65782 ILT65457:ILT65782 IVP65457:IVP65782 JFL65457:JFL65782 JPH65457:JPH65782 JZD65457:JZD65782 KIZ65457:KIZ65782 KSV65457:KSV65782 LCR65457:LCR65782 LMN65457:LMN65782 LWJ65457:LWJ65782 MGF65457:MGF65782 MQB65457:MQB65782 MZX65457:MZX65782 NJT65457:NJT65782 NTP65457:NTP65782 ODL65457:ODL65782 ONH65457:ONH65782 OXD65457:OXD65782 PGZ65457:PGZ65782 PQV65457:PQV65782 QAR65457:QAR65782 QKN65457:QKN65782 QUJ65457:QUJ65782 REF65457:REF65782 ROB65457:ROB65782 RXX65457:RXX65782 SHT65457:SHT65782 SRP65457:SRP65782 TBL65457:TBL65782 TLH65457:TLH65782 TVD65457:TVD65782 UEZ65457:UEZ65782 UOV65457:UOV65782 UYR65457:UYR65782 VIN65457:VIN65782 VSJ65457:VSJ65782 WCF65457:WCF65782 WMB65457:WMB65782 WVX65457:WVX65782 RXX982961:RXX983286 JL130993:JL131318 TH130993:TH131318 ADD130993:ADD131318 AMZ130993:AMZ131318 AWV130993:AWV131318 BGR130993:BGR131318 BQN130993:BQN131318 CAJ130993:CAJ131318 CKF130993:CKF131318 CUB130993:CUB131318 DDX130993:DDX131318 DNT130993:DNT131318 DXP130993:DXP131318 EHL130993:EHL131318 ERH130993:ERH131318 FBD130993:FBD131318 FKZ130993:FKZ131318 FUV130993:FUV131318 GER130993:GER131318 GON130993:GON131318 GYJ130993:GYJ131318 HIF130993:HIF131318 HSB130993:HSB131318 IBX130993:IBX131318 ILT130993:ILT131318 IVP130993:IVP131318 JFL130993:JFL131318 JPH130993:JPH131318 JZD130993:JZD131318 KIZ130993:KIZ131318 KSV130993:KSV131318 LCR130993:LCR131318 LMN130993:LMN131318 LWJ130993:LWJ131318 MGF130993:MGF131318 MQB130993:MQB131318 MZX130993:MZX131318 NJT130993:NJT131318 NTP130993:NTP131318 ODL130993:ODL131318 ONH130993:ONH131318 OXD130993:OXD131318 PGZ130993:PGZ131318 PQV130993:PQV131318 QAR130993:QAR131318 QKN130993:QKN131318 QUJ130993:QUJ131318 REF130993:REF131318 ROB130993:ROB131318 RXX130993:RXX131318 SHT130993:SHT131318 SRP130993:SRP131318 TBL130993:TBL131318 TLH130993:TLH131318 TVD130993:TVD131318 UEZ130993:UEZ131318 UOV130993:UOV131318 UYR130993:UYR131318 VIN130993:VIN131318 VSJ130993:VSJ131318 WCF130993:WCF131318 WMB130993:WMB131318 WVX130993:WVX131318 SHT982961:SHT983286 JL196529:JL196854 TH196529:TH196854 ADD196529:ADD196854 AMZ196529:AMZ196854 AWV196529:AWV196854 BGR196529:BGR196854 BQN196529:BQN196854 CAJ196529:CAJ196854 CKF196529:CKF196854 CUB196529:CUB196854 DDX196529:DDX196854 DNT196529:DNT196854 DXP196529:DXP196854 EHL196529:EHL196854 ERH196529:ERH196854 FBD196529:FBD196854 FKZ196529:FKZ196854 FUV196529:FUV196854 GER196529:GER196854 GON196529:GON196854 GYJ196529:GYJ196854 HIF196529:HIF196854 HSB196529:HSB196854 IBX196529:IBX196854 ILT196529:ILT196854 IVP196529:IVP196854 JFL196529:JFL196854 JPH196529:JPH196854 JZD196529:JZD196854 KIZ196529:KIZ196854 KSV196529:KSV196854 LCR196529:LCR196854 LMN196529:LMN196854 LWJ196529:LWJ196854 MGF196529:MGF196854 MQB196529:MQB196854 MZX196529:MZX196854 NJT196529:NJT196854 NTP196529:NTP196854 ODL196529:ODL196854 ONH196529:ONH196854 OXD196529:OXD196854 PGZ196529:PGZ196854 PQV196529:PQV196854 QAR196529:QAR196854 QKN196529:QKN196854 QUJ196529:QUJ196854 REF196529:REF196854 ROB196529:ROB196854 RXX196529:RXX196854 SHT196529:SHT196854 SRP196529:SRP196854 TBL196529:TBL196854 TLH196529:TLH196854 TVD196529:TVD196854 UEZ196529:UEZ196854 UOV196529:UOV196854 UYR196529:UYR196854 VIN196529:VIN196854 VSJ196529:VSJ196854 WCF196529:WCF196854 WMB196529:WMB196854 WVX196529:WVX196854 SRP982961:SRP983286 JL262065:JL262390 TH262065:TH262390 ADD262065:ADD262390 AMZ262065:AMZ262390 AWV262065:AWV262390 BGR262065:BGR262390 BQN262065:BQN262390 CAJ262065:CAJ262390 CKF262065:CKF262390 CUB262065:CUB262390 DDX262065:DDX262390 DNT262065:DNT262390 DXP262065:DXP262390 EHL262065:EHL262390 ERH262065:ERH262390 FBD262065:FBD262390 FKZ262065:FKZ262390 FUV262065:FUV262390 GER262065:GER262390 GON262065:GON262390 GYJ262065:GYJ262390 HIF262065:HIF262390 HSB262065:HSB262390 IBX262065:IBX262390 ILT262065:ILT262390 IVP262065:IVP262390 JFL262065:JFL262390 JPH262065:JPH262390 JZD262065:JZD262390 KIZ262065:KIZ262390 KSV262065:KSV262390 LCR262065:LCR262390 LMN262065:LMN262390 LWJ262065:LWJ262390 MGF262065:MGF262390 MQB262065:MQB262390 MZX262065:MZX262390 NJT262065:NJT262390 NTP262065:NTP262390 ODL262065:ODL262390 ONH262065:ONH262390 OXD262065:OXD262390 PGZ262065:PGZ262390 PQV262065:PQV262390 QAR262065:QAR262390 QKN262065:QKN262390 QUJ262065:QUJ262390 REF262065:REF262390 ROB262065:ROB262390 RXX262065:RXX262390 SHT262065:SHT262390 SRP262065:SRP262390 TBL262065:TBL262390 TLH262065:TLH262390 TVD262065:TVD262390 UEZ262065:UEZ262390 UOV262065:UOV262390 UYR262065:UYR262390 VIN262065:VIN262390 VSJ262065:VSJ262390 WCF262065:WCF262390 WMB262065:WMB262390 WVX262065:WVX262390 TBL982961:TBL983286 JL327601:JL327926 TH327601:TH327926 ADD327601:ADD327926 AMZ327601:AMZ327926 AWV327601:AWV327926 BGR327601:BGR327926 BQN327601:BQN327926 CAJ327601:CAJ327926 CKF327601:CKF327926 CUB327601:CUB327926 DDX327601:DDX327926 DNT327601:DNT327926 DXP327601:DXP327926 EHL327601:EHL327926 ERH327601:ERH327926 FBD327601:FBD327926 FKZ327601:FKZ327926 FUV327601:FUV327926 GER327601:GER327926 GON327601:GON327926 GYJ327601:GYJ327926 HIF327601:HIF327926 HSB327601:HSB327926 IBX327601:IBX327926 ILT327601:ILT327926 IVP327601:IVP327926 JFL327601:JFL327926 JPH327601:JPH327926 JZD327601:JZD327926 KIZ327601:KIZ327926 KSV327601:KSV327926 LCR327601:LCR327926 LMN327601:LMN327926 LWJ327601:LWJ327926 MGF327601:MGF327926 MQB327601:MQB327926 MZX327601:MZX327926 NJT327601:NJT327926 NTP327601:NTP327926 ODL327601:ODL327926 ONH327601:ONH327926 OXD327601:OXD327926 PGZ327601:PGZ327926 PQV327601:PQV327926 QAR327601:QAR327926 QKN327601:QKN327926 QUJ327601:QUJ327926 REF327601:REF327926 ROB327601:ROB327926 RXX327601:RXX327926 SHT327601:SHT327926 SRP327601:SRP327926 TBL327601:TBL327926 TLH327601:TLH327926 TVD327601:TVD327926 UEZ327601:UEZ327926 UOV327601:UOV327926 UYR327601:UYR327926 VIN327601:VIN327926 VSJ327601:VSJ327926 WCF327601:WCF327926 WMB327601:WMB327926 WVX327601:WVX327926 TLH982961:TLH983286 JL393137:JL393462 TH393137:TH393462 ADD393137:ADD393462 AMZ393137:AMZ393462 AWV393137:AWV393462 BGR393137:BGR393462 BQN393137:BQN393462 CAJ393137:CAJ393462 CKF393137:CKF393462 CUB393137:CUB393462 DDX393137:DDX393462 DNT393137:DNT393462 DXP393137:DXP393462 EHL393137:EHL393462 ERH393137:ERH393462 FBD393137:FBD393462 FKZ393137:FKZ393462 FUV393137:FUV393462 GER393137:GER393462 GON393137:GON393462 GYJ393137:GYJ393462 HIF393137:HIF393462 HSB393137:HSB393462 IBX393137:IBX393462 ILT393137:ILT393462 IVP393137:IVP393462 JFL393137:JFL393462 JPH393137:JPH393462 JZD393137:JZD393462 KIZ393137:KIZ393462 KSV393137:KSV393462 LCR393137:LCR393462 LMN393137:LMN393462 LWJ393137:LWJ393462 MGF393137:MGF393462 MQB393137:MQB393462 MZX393137:MZX393462 NJT393137:NJT393462 NTP393137:NTP393462 ODL393137:ODL393462 ONH393137:ONH393462 OXD393137:OXD393462 PGZ393137:PGZ393462 PQV393137:PQV393462 QAR393137:QAR393462 QKN393137:QKN393462 QUJ393137:QUJ393462 REF393137:REF393462 ROB393137:ROB393462 RXX393137:RXX393462 SHT393137:SHT393462 SRP393137:SRP393462 TBL393137:TBL393462 TLH393137:TLH393462 TVD393137:TVD393462 UEZ393137:UEZ393462 UOV393137:UOV393462 UYR393137:UYR393462 VIN393137:VIN393462 VSJ393137:VSJ393462 WCF393137:WCF393462 WMB393137:WMB393462 WVX393137:WVX393462 TVD982961:TVD983286 JL458673:JL458998 TH458673:TH458998 ADD458673:ADD458998 AMZ458673:AMZ458998 AWV458673:AWV458998 BGR458673:BGR458998 BQN458673:BQN458998 CAJ458673:CAJ458998 CKF458673:CKF458998 CUB458673:CUB458998 DDX458673:DDX458998 DNT458673:DNT458998 DXP458673:DXP458998 EHL458673:EHL458998 ERH458673:ERH458998 FBD458673:FBD458998 FKZ458673:FKZ458998 FUV458673:FUV458998 GER458673:GER458998 GON458673:GON458998 GYJ458673:GYJ458998 HIF458673:HIF458998 HSB458673:HSB458998 IBX458673:IBX458998 ILT458673:ILT458998 IVP458673:IVP458998 JFL458673:JFL458998 JPH458673:JPH458998 JZD458673:JZD458998 KIZ458673:KIZ458998 KSV458673:KSV458998 LCR458673:LCR458998 LMN458673:LMN458998 LWJ458673:LWJ458998 MGF458673:MGF458998 MQB458673:MQB458998 MZX458673:MZX458998 NJT458673:NJT458998 NTP458673:NTP458998 ODL458673:ODL458998 ONH458673:ONH458998 OXD458673:OXD458998 PGZ458673:PGZ458998 PQV458673:PQV458998 QAR458673:QAR458998 QKN458673:QKN458998 QUJ458673:QUJ458998 REF458673:REF458998 ROB458673:ROB458998 RXX458673:RXX458998 SHT458673:SHT458998 SRP458673:SRP458998 TBL458673:TBL458998 TLH458673:TLH458998 TVD458673:TVD458998 UEZ458673:UEZ458998 UOV458673:UOV458998 UYR458673:UYR458998 VIN458673:VIN458998 VSJ458673:VSJ458998 WCF458673:WCF458998 WMB458673:WMB458998 WVX458673:WVX458998 UEZ982961:UEZ983286 JL524209:JL524534 TH524209:TH524534 ADD524209:ADD524534 AMZ524209:AMZ524534 AWV524209:AWV524534 BGR524209:BGR524534 BQN524209:BQN524534 CAJ524209:CAJ524534 CKF524209:CKF524534 CUB524209:CUB524534 DDX524209:DDX524534 DNT524209:DNT524534 DXP524209:DXP524534 EHL524209:EHL524534 ERH524209:ERH524534 FBD524209:FBD524534 FKZ524209:FKZ524534 FUV524209:FUV524534 GER524209:GER524534 GON524209:GON524534 GYJ524209:GYJ524534 HIF524209:HIF524534 HSB524209:HSB524534 IBX524209:IBX524534 ILT524209:ILT524534 IVP524209:IVP524534 JFL524209:JFL524534 JPH524209:JPH524534 JZD524209:JZD524534 KIZ524209:KIZ524534 KSV524209:KSV524534 LCR524209:LCR524534 LMN524209:LMN524534 LWJ524209:LWJ524534 MGF524209:MGF524534 MQB524209:MQB524534 MZX524209:MZX524534 NJT524209:NJT524534 NTP524209:NTP524534 ODL524209:ODL524534 ONH524209:ONH524534 OXD524209:OXD524534 PGZ524209:PGZ524534 PQV524209:PQV524534 QAR524209:QAR524534 QKN524209:QKN524534 QUJ524209:QUJ524534 REF524209:REF524534 ROB524209:ROB524534 RXX524209:RXX524534 SHT524209:SHT524534 SRP524209:SRP524534 TBL524209:TBL524534 TLH524209:TLH524534 TVD524209:TVD524534 UEZ524209:UEZ524534 UOV524209:UOV524534 UYR524209:UYR524534 VIN524209:VIN524534 VSJ524209:VSJ524534 WCF524209:WCF524534 WMB524209:WMB524534 WVX524209:WVX524534 UOV982961:UOV983286 JL589745:JL590070 TH589745:TH590070 ADD589745:ADD590070 AMZ589745:AMZ590070 AWV589745:AWV590070 BGR589745:BGR590070 BQN589745:BQN590070 CAJ589745:CAJ590070 CKF589745:CKF590070 CUB589745:CUB590070 DDX589745:DDX590070 DNT589745:DNT590070 DXP589745:DXP590070 EHL589745:EHL590070 ERH589745:ERH590070 FBD589745:FBD590070 FKZ589745:FKZ590070 FUV589745:FUV590070 GER589745:GER590070 GON589745:GON590070 GYJ589745:GYJ590070 HIF589745:HIF590070 HSB589745:HSB590070 IBX589745:IBX590070 ILT589745:ILT590070 IVP589745:IVP590070 JFL589745:JFL590070 JPH589745:JPH590070 JZD589745:JZD590070 KIZ589745:KIZ590070 KSV589745:KSV590070 LCR589745:LCR590070 LMN589745:LMN590070 LWJ589745:LWJ590070 MGF589745:MGF590070 MQB589745:MQB590070 MZX589745:MZX590070 NJT589745:NJT590070 NTP589745:NTP590070 ODL589745:ODL590070 ONH589745:ONH590070 OXD589745:OXD590070 PGZ589745:PGZ590070 PQV589745:PQV590070 QAR589745:QAR590070 QKN589745:QKN590070 QUJ589745:QUJ590070 REF589745:REF590070 ROB589745:ROB590070 RXX589745:RXX590070 SHT589745:SHT590070 SRP589745:SRP590070 TBL589745:TBL590070 TLH589745:TLH590070 TVD589745:TVD590070 UEZ589745:UEZ590070 UOV589745:UOV590070 UYR589745:UYR590070 VIN589745:VIN590070 VSJ589745:VSJ590070 WCF589745:WCF590070 WMB589745:WMB590070 WVX589745:WVX590070 UYR982961:UYR983286 JL655281:JL655606 TH655281:TH655606 ADD655281:ADD655606 AMZ655281:AMZ655606 AWV655281:AWV655606 BGR655281:BGR655606 BQN655281:BQN655606 CAJ655281:CAJ655606 CKF655281:CKF655606 CUB655281:CUB655606 DDX655281:DDX655606 DNT655281:DNT655606 DXP655281:DXP655606 EHL655281:EHL655606 ERH655281:ERH655606 FBD655281:FBD655606 FKZ655281:FKZ655606 FUV655281:FUV655606 GER655281:GER655606 GON655281:GON655606 GYJ655281:GYJ655606 HIF655281:HIF655606 HSB655281:HSB655606 IBX655281:IBX655606 ILT655281:ILT655606 IVP655281:IVP655606 JFL655281:JFL655606 JPH655281:JPH655606 JZD655281:JZD655606 KIZ655281:KIZ655606 KSV655281:KSV655606 LCR655281:LCR655606 LMN655281:LMN655606 LWJ655281:LWJ655606 MGF655281:MGF655606 MQB655281:MQB655606 MZX655281:MZX655606 NJT655281:NJT655606 NTP655281:NTP655606 ODL655281:ODL655606 ONH655281:ONH655606 OXD655281:OXD655606 PGZ655281:PGZ655606 PQV655281:PQV655606 QAR655281:QAR655606 QKN655281:QKN655606 QUJ655281:QUJ655606 REF655281:REF655606 ROB655281:ROB655606 RXX655281:RXX655606 SHT655281:SHT655606 SRP655281:SRP655606 TBL655281:TBL655606 TLH655281:TLH655606 TVD655281:TVD655606 UEZ655281:UEZ655606 UOV655281:UOV655606 UYR655281:UYR655606 VIN655281:VIN655606 VSJ655281:VSJ655606 WCF655281:WCF655606 WMB655281:WMB655606 WVX655281:WVX655606 VIN982961:VIN983286 JL720817:JL721142 TH720817:TH721142 ADD720817:ADD721142 AMZ720817:AMZ721142 AWV720817:AWV721142 BGR720817:BGR721142 BQN720817:BQN721142 CAJ720817:CAJ721142 CKF720817:CKF721142 CUB720817:CUB721142 DDX720817:DDX721142 DNT720817:DNT721142 DXP720817:DXP721142 EHL720817:EHL721142 ERH720817:ERH721142 FBD720817:FBD721142 FKZ720817:FKZ721142 FUV720817:FUV721142 GER720817:GER721142 GON720817:GON721142 GYJ720817:GYJ721142 HIF720817:HIF721142 HSB720817:HSB721142 IBX720817:IBX721142 ILT720817:ILT721142 IVP720817:IVP721142 JFL720817:JFL721142 JPH720817:JPH721142 JZD720817:JZD721142 KIZ720817:KIZ721142 KSV720817:KSV721142 LCR720817:LCR721142 LMN720817:LMN721142 LWJ720817:LWJ721142 MGF720817:MGF721142 MQB720817:MQB721142 MZX720817:MZX721142 NJT720817:NJT721142 NTP720817:NTP721142 ODL720817:ODL721142 ONH720817:ONH721142 OXD720817:OXD721142 PGZ720817:PGZ721142 PQV720817:PQV721142 QAR720817:QAR721142 QKN720817:QKN721142 QUJ720817:QUJ721142 REF720817:REF721142 ROB720817:ROB721142 RXX720817:RXX721142 SHT720817:SHT721142 SRP720817:SRP721142 TBL720817:TBL721142 TLH720817:TLH721142 TVD720817:TVD721142 UEZ720817:UEZ721142 UOV720817:UOV721142 UYR720817:UYR721142 VIN720817:VIN721142 VSJ720817:VSJ721142 WCF720817:WCF721142 WMB720817:WMB721142 WVX720817:WVX721142 VSJ982961:VSJ983286 JL786353:JL786678 TH786353:TH786678 ADD786353:ADD786678 AMZ786353:AMZ786678 AWV786353:AWV786678 BGR786353:BGR786678 BQN786353:BQN786678 CAJ786353:CAJ786678 CKF786353:CKF786678 CUB786353:CUB786678 DDX786353:DDX786678 DNT786353:DNT786678 DXP786353:DXP786678 EHL786353:EHL786678 ERH786353:ERH786678 FBD786353:FBD786678 FKZ786353:FKZ786678 FUV786353:FUV786678 GER786353:GER786678 GON786353:GON786678 GYJ786353:GYJ786678 HIF786353:HIF786678 HSB786353:HSB786678 IBX786353:IBX786678 ILT786353:ILT786678 IVP786353:IVP786678 JFL786353:JFL786678 JPH786353:JPH786678 JZD786353:JZD786678 KIZ786353:KIZ786678 KSV786353:KSV786678 LCR786353:LCR786678 LMN786353:LMN786678 LWJ786353:LWJ786678 MGF786353:MGF786678 MQB786353:MQB786678 MZX786353:MZX786678 NJT786353:NJT786678 NTP786353:NTP786678 ODL786353:ODL786678 ONH786353:ONH786678 OXD786353:OXD786678 PGZ786353:PGZ786678 PQV786353:PQV786678 QAR786353:QAR786678 QKN786353:QKN786678 QUJ786353:QUJ786678 REF786353:REF786678 ROB786353:ROB786678 RXX786353:RXX786678 SHT786353:SHT786678 SRP786353:SRP786678 TBL786353:TBL786678 TLH786353:TLH786678 TVD786353:TVD786678 UEZ786353:UEZ786678 UOV786353:UOV786678 UYR786353:UYR786678 VIN786353:VIN786678 VSJ786353:VSJ786678 WCF786353:WCF786678 WMB786353:WMB786678 WVX786353:WVX786678 WCF982961:WCF983286 JL851889:JL852214 TH851889:TH852214 ADD851889:ADD852214 AMZ851889:AMZ852214 AWV851889:AWV852214 BGR851889:BGR852214 BQN851889:BQN852214 CAJ851889:CAJ852214 CKF851889:CKF852214 CUB851889:CUB852214 DDX851889:DDX852214 DNT851889:DNT852214 DXP851889:DXP852214 EHL851889:EHL852214 ERH851889:ERH852214 FBD851889:FBD852214 FKZ851889:FKZ852214 FUV851889:FUV852214 GER851889:GER852214 GON851889:GON852214 GYJ851889:GYJ852214 HIF851889:HIF852214 HSB851889:HSB852214 IBX851889:IBX852214 ILT851889:ILT852214 IVP851889:IVP852214 JFL851889:JFL852214 JPH851889:JPH852214 JZD851889:JZD852214 KIZ851889:KIZ852214 KSV851889:KSV852214 LCR851889:LCR852214 LMN851889:LMN852214 LWJ851889:LWJ852214 MGF851889:MGF852214 MQB851889:MQB852214 MZX851889:MZX852214 NJT851889:NJT852214 NTP851889:NTP852214 ODL851889:ODL852214 ONH851889:ONH852214 OXD851889:OXD852214 PGZ851889:PGZ852214 PQV851889:PQV852214 QAR851889:QAR852214 QKN851889:QKN852214 QUJ851889:QUJ852214 REF851889:REF852214 ROB851889:ROB852214 RXX851889:RXX852214 SHT851889:SHT852214 SRP851889:SRP852214 TBL851889:TBL852214 TLH851889:TLH852214 TVD851889:TVD852214 UEZ851889:UEZ852214 UOV851889:UOV852214 UYR851889:UYR852214 VIN851889:VIN852214 VSJ851889:VSJ852214 WCF851889:WCF852214 WMB851889:WMB852214 WVX851889:WVX852214 WMB982961:WMB983286 JL917425:JL917750 TH917425:TH917750 ADD917425:ADD917750 AMZ917425:AMZ917750 AWV917425:AWV917750 BGR917425:BGR917750 BQN917425:BQN917750 CAJ917425:CAJ917750 CKF917425:CKF917750 CUB917425:CUB917750 DDX917425:DDX917750 DNT917425:DNT917750 DXP917425:DXP917750 EHL917425:EHL917750 ERH917425:ERH917750 FBD917425:FBD917750 FKZ917425:FKZ917750 FUV917425:FUV917750 GER917425:GER917750 GON917425:GON917750 GYJ917425:GYJ917750 HIF917425:HIF917750 HSB917425:HSB917750 IBX917425:IBX917750 ILT917425:ILT917750 IVP917425:IVP917750 JFL917425:JFL917750 JPH917425:JPH917750 JZD917425:JZD917750 KIZ917425:KIZ917750 KSV917425:KSV917750 LCR917425:LCR917750 LMN917425:LMN917750 LWJ917425:LWJ917750 MGF917425:MGF917750 MQB917425:MQB917750 MZX917425:MZX917750 NJT917425:NJT917750 NTP917425:NTP917750 ODL917425:ODL917750 ONH917425:ONH917750 OXD917425:OXD917750 PGZ917425:PGZ917750 PQV917425:PQV917750 QAR917425:QAR917750 QKN917425:QKN917750 QUJ917425:QUJ917750 REF917425:REF917750 ROB917425:ROB917750 RXX917425:RXX917750 SHT917425:SHT917750 SRP917425:SRP917750 TBL917425:TBL917750 TLH917425:TLH917750 TVD917425:TVD917750 UEZ917425:UEZ917750 UOV917425:UOV917750 UYR917425:UYR917750 VIN917425:VIN917750 VSJ917425:VSJ917750 WCF917425:WCF917750 WMB917425:WMB917750 WVX917425:WVX917750 WVX982961:WVX983286 JL982961:JL983286 TH982961:TH983286 ADD982961:ADD983286 AMZ982961:AMZ983286 AWV982961:AWV983286 BGR982961:BGR983286 BQN982961:BQN983286 CAJ982961:CAJ983286 CKF982961:CKF983286 CUB982961:CUB983286 DDX982961:DDX983286 DNT982961:DNT983286 DXP982961:DXP983286 EHL982961:EHL983286 ERH982961:ERH983286 FBD982961:FBD983286 FKZ982961:FKZ983286 FUV982961:FUV983286 GER982961:GER983286 GON982961:GON983286 GYJ982961:GYJ983286 HIF982961:HIF983286 HSB982961:HSB983286 IBX982961:IBX983286 ILT982961:ILT983286 IVP982961:IVP983286 JFL982961:JFL983286 JPH982961:JPH983286 JZD982961:JZD983286 KIZ982961:KIZ983286 KSV982961:KSV983286 LCR982961:LCR983286 LMN982961:LMN983286 LWJ982961:LWJ983286 MGF982961:MGF983286 MQB982961:MQB983286 MZX982961:MZX983286 NJT982961:NJT983286 NTP982961:NTP983286 ODL982961:ODL983286 ONH982961:ONH983286 OXD982961:OXD983286 PGZ982961:PGZ983286 PQV982961:PQV983286 QAR982961:QAR983286 QKN982961:QKN983286 QUJ982961:QUJ983286">
      <formula1>0</formula1>
      <formula2>100</formula2>
    </dataValidation>
  </dataValidations>
  <pageMargins left="0.7" right="0.7" top="0.75" bottom="0.75" header="0.3" footer="0.3"/>
  <pageSetup orientation="portrait" r:id="rId1"/>
  <drawing r:id="rId2"/>
  <legacyDrawing r:id="rId3"/>
  <extLst>
    <ext xmlns:x14="http://schemas.microsoft.com/office/spreadsheetml/2009/9/main" uri="{78C0D931-6437-407d-A8EE-F0AAD7539E65}">
      <x14:conditionalFormattings>
        <x14:conditionalFormatting xmlns:xm="http://schemas.microsoft.com/office/excel/2006/main">
          <x14:cfRule type="containsText" priority="32" operator="containsText" id="{31D9DA35-9D3F-4C56-A381-96EBEE2A7F84}">
            <xm:f>NOT(ISERROR(SEARCH($D$11,D11)))</xm:f>
            <xm:f>$D$11</xm:f>
            <x14:dxf/>
          </x14:cfRule>
          <xm:sqref>D11:H12</xm:sqref>
        </x14:conditionalFormatting>
      </x14:conditionalFormattings>
    </ext>
    <ext xmlns:x14="http://schemas.microsoft.com/office/spreadsheetml/2009/9/main" uri="{CCE6A557-97BC-4b89-ADB6-D9C93CAAB3DF}">
      <x14:dataValidations xmlns:xm="http://schemas.microsoft.com/office/excel/2006/main" disablePrompts="1" count="2">
        <x14:dataValidation type="list" allowBlank="1" showInputMessage="1" showErrorMessage="1">
          <x14:formula1>
            <xm:f>'LISTAS PPTO'!$AW$12:$AW$13</xm:f>
          </x14:formula1>
          <xm:sqref>G25:G450</xm:sqref>
        </x14:dataValidation>
        <x14:dataValidation type="list" allowBlank="1" showInputMessage="1" showErrorMessage="1">
          <x14:formula1>
            <xm:f>'LISTAS PPTO'!$AW$15:$AW$19</xm:f>
          </x14:formula1>
          <xm:sqref>F25</xm:sqref>
        </x14:dataValidation>
      </x14:dataValidations>
    </ext>
  </extLs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ACR46"/>
  <sheetViews>
    <sheetView zoomScaleNormal="100" workbookViewId="0">
      <selection activeCell="A31" sqref="A31:A35"/>
    </sheetView>
  </sheetViews>
  <sheetFormatPr baseColWidth="10" defaultColWidth="11.42578125" defaultRowHeight="15" x14ac:dyDescent="0.25"/>
  <cols>
    <col min="1" max="1" width="38.140625" customWidth="1"/>
    <col min="2" max="2" width="28.140625" customWidth="1"/>
    <col min="3" max="4" width="17.7109375" hidden="1" customWidth="1"/>
    <col min="5" max="5" width="21.140625" customWidth="1"/>
    <col min="6" max="6" width="22.42578125" customWidth="1"/>
    <col min="7" max="7" width="29.140625" customWidth="1"/>
    <col min="8" max="8" width="21" customWidth="1"/>
    <col min="9" max="9" width="44.42578125" customWidth="1"/>
    <col min="10" max="10" width="19.5703125" customWidth="1"/>
    <col min="11" max="11" width="20.85546875" customWidth="1"/>
    <col min="12" max="12" width="19.5703125" customWidth="1"/>
    <col min="13" max="13" width="20.28515625" customWidth="1"/>
    <col min="14" max="15" width="18.28515625" customWidth="1"/>
    <col min="16" max="16" width="22.28515625" customWidth="1"/>
  </cols>
  <sheetData>
    <row r="2" spans="1:772" s="410" customFormat="1" ht="51" customHeight="1" x14ac:dyDescent="0.25">
      <c r="A2" s="1862"/>
      <c r="B2" s="1669" t="s">
        <v>1790</v>
      </c>
      <c r="C2" s="1670"/>
      <c r="D2" s="1670"/>
      <c r="E2" s="1670"/>
      <c r="F2" s="1670"/>
      <c r="G2" s="1670"/>
      <c r="H2" s="1670"/>
      <c r="I2" s="1670"/>
      <c r="J2" s="1670"/>
      <c r="K2" s="1670"/>
      <c r="L2" s="1671"/>
      <c r="M2" s="1864" t="s">
        <v>1789</v>
      </c>
      <c r="N2" s="1865"/>
      <c r="V2" s="871" t="s">
        <v>792</v>
      </c>
      <c r="ACR2" s="410" t="s">
        <v>1631</v>
      </c>
    </row>
    <row r="3" spans="1:772" ht="41.25" customHeight="1" x14ac:dyDescent="0.25">
      <c r="A3" s="1863"/>
      <c r="B3" s="1672"/>
      <c r="C3" s="1673"/>
      <c r="D3" s="1673"/>
      <c r="E3" s="1673"/>
      <c r="F3" s="1673"/>
      <c r="G3" s="1673"/>
      <c r="H3" s="1673"/>
      <c r="I3" s="1673"/>
      <c r="J3" s="1673"/>
      <c r="K3" s="1673"/>
      <c r="L3" s="1674"/>
      <c r="M3" s="1866" t="s">
        <v>1791</v>
      </c>
      <c r="N3" s="1867"/>
      <c r="ACR3" t="s">
        <v>1632</v>
      </c>
    </row>
    <row r="4" spans="1:772" ht="21" x14ac:dyDescent="0.35">
      <c r="A4" s="1868" t="s">
        <v>1779</v>
      </c>
      <c r="B4" s="1868"/>
      <c r="C4" s="1868"/>
      <c r="D4" s="1868"/>
      <c r="E4" s="1868"/>
      <c r="F4" s="1868"/>
      <c r="G4" s="1868"/>
      <c r="H4" s="1868"/>
      <c r="I4" s="872"/>
      <c r="J4" s="872"/>
      <c r="M4" s="872"/>
      <c r="ACR4" s="410" t="s">
        <v>1633</v>
      </c>
    </row>
    <row r="5" spans="1:772" x14ac:dyDescent="0.25">
      <c r="A5" s="873"/>
      <c r="B5" s="873"/>
      <c r="C5" s="873"/>
      <c r="D5" s="873"/>
      <c r="E5" s="873"/>
      <c r="F5" s="873"/>
      <c r="G5" s="873"/>
      <c r="H5" s="873"/>
      <c r="I5" s="872"/>
      <c r="J5" s="872"/>
      <c r="M5" s="872"/>
      <c r="ACR5" t="s">
        <v>1634</v>
      </c>
    </row>
    <row r="6" spans="1:772" s="302" customFormat="1" ht="32.25" customHeight="1" x14ac:dyDescent="0.35">
      <c r="A6" s="735" t="s">
        <v>0</v>
      </c>
      <c r="B6" s="1390" t="str">
        <f>+'ANALÍTICA ESTADO SITUACIÓN F'!C6</f>
        <v xml:space="preserve">130000 - DIRECCIÓN SECTOR HÁBITAT Y AMBIENTE </v>
      </c>
      <c r="C6" s="1390"/>
      <c r="D6" s="1390"/>
      <c r="E6" s="1390"/>
      <c r="F6" s="1390"/>
      <c r="G6" s="630"/>
      <c r="H6" s="630"/>
      <c r="I6" s="829"/>
      <c r="J6" s="829"/>
      <c r="K6" s="829"/>
    </row>
    <row r="7" spans="1:772" s="302" customFormat="1" ht="31.5" customHeight="1" x14ac:dyDescent="0.35">
      <c r="A7" s="830" t="s">
        <v>1281</v>
      </c>
      <c r="B7" s="1391" t="str">
        <f>+'ANALÍTICA ESTADO SITUACIÓN F'!C7</f>
        <v>208 - Caja de Vivienda Popular – CVP</v>
      </c>
      <c r="C7" s="1392"/>
      <c r="D7" s="1392"/>
      <c r="E7" s="1392"/>
      <c r="F7" s="1392"/>
      <c r="H7" s="735" t="s">
        <v>2</v>
      </c>
      <c r="I7" s="946">
        <f>+'ANALÍTICA ESTADO SITUACIÓN F'!H7</f>
        <v>2023</v>
      </c>
      <c r="J7" s="743"/>
      <c r="K7" s="737"/>
    </row>
    <row r="8" spans="1:772" s="302" customFormat="1" ht="19.899999999999999" customHeight="1" x14ac:dyDescent="0.35">
      <c r="A8" s="735" t="s">
        <v>1781</v>
      </c>
      <c r="B8" s="1392">
        <f>+'ANALÍTICA ESTADO SITUACIÓN F'!C8</f>
        <v>2025</v>
      </c>
      <c r="C8" s="1392"/>
      <c r="D8" s="1392"/>
      <c r="E8" s="831"/>
      <c r="F8" s="832"/>
      <c r="H8" s="735" t="s">
        <v>3</v>
      </c>
      <c r="I8" s="945">
        <f>+'ANALÍTICA ESTADO SITUACIÓN F'!H8</f>
        <v>55</v>
      </c>
      <c r="J8" s="743"/>
      <c r="K8" s="737"/>
      <c r="L8" s="833"/>
    </row>
    <row r="9" spans="1:772" s="302" customFormat="1" ht="19.899999999999999" customHeight="1" x14ac:dyDescent="0.35">
      <c r="A9" s="735" t="s">
        <v>4</v>
      </c>
      <c r="B9" s="1393">
        <f>+'ANALÍTICA ESTADO SITUACIÓN F'!C9</f>
        <v>45580</v>
      </c>
      <c r="C9" s="1393"/>
      <c r="D9" s="1393"/>
      <c r="E9" s="1393"/>
      <c r="F9" s="1393"/>
      <c r="H9" s="736" t="s">
        <v>1282</v>
      </c>
      <c r="I9" s="1145">
        <f>+'ANALÍTICA ESTADO SITUACIÓN F'!H9</f>
        <v>45580</v>
      </c>
      <c r="J9" s="743"/>
      <c r="K9" s="743"/>
      <c r="L9" s="833"/>
    </row>
    <row r="10" spans="1:772" s="302" customFormat="1" ht="19.899999999999999" customHeight="1" thickBot="1" x14ac:dyDescent="0.4">
      <c r="B10" s="735"/>
      <c r="C10" s="1134"/>
      <c r="D10" s="1134"/>
      <c r="E10" s="1134"/>
      <c r="I10" s="736"/>
      <c r="J10" s="946"/>
      <c r="K10" s="743"/>
      <c r="L10" s="743"/>
      <c r="M10" s="833"/>
    </row>
    <row r="11" spans="1:772" ht="45.75" thickTop="1" x14ac:dyDescent="0.25">
      <c r="A11" s="874" t="s">
        <v>1635</v>
      </c>
      <c r="B11" s="874" t="s">
        <v>1636</v>
      </c>
      <c r="C11" s="874" t="s">
        <v>1637</v>
      </c>
      <c r="D11" s="874" t="s">
        <v>1638</v>
      </c>
      <c r="E11" s="874" t="s">
        <v>1107</v>
      </c>
      <c r="F11" s="874" t="s">
        <v>1108</v>
      </c>
      <c r="G11" s="874" t="s">
        <v>193</v>
      </c>
      <c r="H11" s="874" t="s">
        <v>195</v>
      </c>
      <c r="I11" s="1859" t="s">
        <v>1716</v>
      </c>
      <c r="J11" s="1860"/>
      <c r="K11" s="1860"/>
      <c r="L11" s="1860"/>
      <c r="M11" s="1861"/>
    </row>
    <row r="12" spans="1:772" ht="60" x14ac:dyDescent="0.25">
      <c r="A12" s="875" t="s">
        <v>1639</v>
      </c>
      <c r="B12" s="876">
        <v>0.35</v>
      </c>
      <c r="C12" s="876">
        <f t="shared" ref="C12:D15" si="0">IF(ISNUMBER(G12),$B12,0)</f>
        <v>0.35</v>
      </c>
      <c r="D12" s="876">
        <f t="shared" si="0"/>
        <v>0.35</v>
      </c>
      <c r="E12" s="876">
        <f>IFERROR(C12/$C$16,"")</f>
        <v>0.35</v>
      </c>
      <c r="F12" s="876">
        <f>IFERROR(D12/$D$16,"")</f>
        <v>0.35</v>
      </c>
      <c r="G12" s="877">
        <f>IF(COUNTIF(I25:I30,"EFICACIA"),AVERAGEIF($I25:$I30,"EFICACIA",$L$25:$L$30),"")</f>
        <v>0.49590000000000001</v>
      </c>
      <c r="H12" s="877">
        <f>IF(COUNTIF(I25:I30,"EFICIENCIA"),AVERAGEIF($I25:$I30,"EFICIENCIA",$L$25:$L$30),"")</f>
        <v>1</v>
      </c>
      <c r="I12" s="878" t="s">
        <v>1640</v>
      </c>
      <c r="J12" s="879" t="s">
        <v>171</v>
      </c>
      <c r="K12" s="879" t="s">
        <v>179</v>
      </c>
      <c r="L12" s="1873" t="s">
        <v>200</v>
      </c>
      <c r="M12" s="1874"/>
    </row>
    <row r="13" spans="1:772" ht="18" x14ac:dyDescent="0.25">
      <c r="A13" s="880" t="s">
        <v>1641</v>
      </c>
      <c r="B13" s="876">
        <v>0.35</v>
      </c>
      <c r="C13" s="876">
        <f t="shared" si="0"/>
        <v>0.35</v>
      </c>
      <c r="D13" s="876">
        <f t="shared" si="0"/>
        <v>0.35</v>
      </c>
      <c r="E13" s="876">
        <f>IFERROR(C13/$C$16,"")</f>
        <v>0.35</v>
      </c>
      <c r="F13" s="876">
        <f>IFERROR(D13/$D$16,"")</f>
        <v>0.35</v>
      </c>
      <c r="G13" s="877">
        <f>IF(COUNTIF(I25:I30,"EFICACIA"),AVERAGEIF($I31:$I35,"EFICACIA",$L$31:$L$35),"")</f>
        <v>0.8125</v>
      </c>
      <c r="H13" s="877">
        <f>IF(COUNTIF(I31:I35,"EFICIENCIA"),AVERAGEIF($I31:$I35,"EFICIENCIA",$L$31:$L$35),"")</f>
        <v>1</v>
      </c>
      <c r="I13" s="881" t="s">
        <v>193</v>
      </c>
      <c r="J13" s="882" t="s">
        <v>1642</v>
      </c>
      <c r="K13" s="883">
        <f>G16</f>
        <v>0.59153374999999997</v>
      </c>
      <c r="L13" s="1875" t="str">
        <f>IF(K13="","",IF(K13&gt;=75%,"EFICAZ","INEFICAZ"))</f>
        <v>INEFICAZ</v>
      </c>
      <c r="M13" s="1876"/>
    </row>
    <row r="14" spans="1:772" ht="18" x14ac:dyDescent="0.25">
      <c r="A14" s="880" t="s">
        <v>1643</v>
      </c>
      <c r="B14" s="876">
        <v>0.15</v>
      </c>
      <c r="C14" s="876">
        <f t="shared" si="0"/>
        <v>0.15</v>
      </c>
      <c r="D14" s="876">
        <f t="shared" si="0"/>
        <v>0.15</v>
      </c>
      <c r="E14" s="876">
        <f>IFERROR(C14/$C$16,"")</f>
        <v>0.15</v>
      </c>
      <c r="F14" s="876">
        <f>IFERROR(D14/$D$16,"")</f>
        <v>0.15</v>
      </c>
      <c r="G14" s="877">
        <f>IF(COUNTIF(I25:I30,"EFICACIA"),AVERAGEIF($I36:$I40,"EFICACIA",$L$36:$L$40),"")</f>
        <v>0</v>
      </c>
      <c r="H14" s="877">
        <f>IF(COUNTIF(I36:I40,"EFICIENCIA"),AVERAGEIF($I36:$I40,"EFICIENCIA",$L$36:$L$40),"")</f>
        <v>0.66666666666666663</v>
      </c>
      <c r="I14" s="884" t="s">
        <v>195</v>
      </c>
      <c r="J14" s="882" t="s">
        <v>1642</v>
      </c>
      <c r="K14" s="883">
        <f>+H16</f>
        <v>0.95</v>
      </c>
      <c r="L14" s="1877" t="str">
        <f>IF(K14="","",IF(K14&gt;=75%,"EFICIENTE","INEFICIENTE"))</f>
        <v>EFICIENTE</v>
      </c>
      <c r="M14" s="1878"/>
    </row>
    <row r="15" spans="1:772" x14ac:dyDescent="0.25">
      <c r="A15" s="880" t="s">
        <v>1644</v>
      </c>
      <c r="B15" s="876">
        <v>0.15</v>
      </c>
      <c r="C15" s="876">
        <f t="shared" si="0"/>
        <v>0.15</v>
      </c>
      <c r="D15" s="876">
        <f t="shared" si="0"/>
        <v>0.15</v>
      </c>
      <c r="E15" s="876">
        <f>IFERROR(C15/$C$16,"")</f>
        <v>0.15</v>
      </c>
      <c r="F15" s="876">
        <f>IFERROR(D15/$D$16,"")</f>
        <v>0.15</v>
      </c>
      <c r="G15" s="877">
        <f>IF(COUNTIF(I25:I30,"EFICACIA"),AVERAGEIF($I41:$I46,"EFICACIA",$L$41:$L$46),"")</f>
        <v>0.890625</v>
      </c>
      <c r="H15" s="877">
        <f>IF(COUNTIF(I41:I45,"EFICIENCIA"),AVERAGEIF($I41:$I46,"EFICIENCIA",$L$41:$L$46),"")</f>
        <v>1</v>
      </c>
    </row>
    <row r="16" spans="1:772" ht="15.75" thickBot="1" x14ac:dyDescent="0.3">
      <c r="A16" s="885" t="s">
        <v>1645</v>
      </c>
      <c r="B16" s="886">
        <v>1</v>
      </c>
      <c r="C16" s="886">
        <f>SUM(C12:C15)</f>
        <v>1</v>
      </c>
      <c r="D16" s="886">
        <f>SUM(D12:D15)</f>
        <v>1</v>
      </c>
      <c r="E16" s="886">
        <f>SUM(E12:E15)</f>
        <v>1</v>
      </c>
      <c r="F16" s="886">
        <f>SUM(F12:F15)</f>
        <v>1</v>
      </c>
      <c r="G16" s="887">
        <f>+SUMPRODUCT(E12:E15,G12:G15)</f>
        <v>0.59153374999999997</v>
      </c>
      <c r="H16" s="887">
        <f>+SUMPRODUCT(F12:F15,H12:H15)</f>
        <v>0.95</v>
      </c>
      <c r="I16" s="872"/>
      <c r="J16" s="872"/>
    </row>
    <row r="17" spans="1:14" x14ac:dyDescent="0.25">
      <c r="A17" s="888" t="s">
        <v>195</v>
      </c>
      <c r="B17" s="889" t="s">
        <v>1118</v>
      </c>
      <c r="C17" s="890"/>
      <c r="D17" s="890"/>
      <c r="E17" s="891"/>
      <c r="F17" s="891"/>
      <c r="G17" s="891"/>
      <c r="H17" s="891"/>
      <c r="I17" s="1879" t="s">
        <v>1646</v>
      </c>
      <c r="J17" s="1880"/>
    </row>
    <row r="18" spans="1:14" x14ac:dyDescent="0.25">
      <c r="A18" s="892" t="s">
        <v>193</v>
      </c>
      <c r="B18" s="893" t="s">
        <v>1119</v>
      </c>
      <c r="C18" s="890"/>
      <c r="D18" s="890"/>
      <c r="E18" s="894"/>
      <c r="F18" s="894"/>
      <c r="G18" s="894"/>
      <c r="H18" s="895"/>
      <c r="I18" s="1881"/>
      <c r="J18" s="1882"/>
    </row>
    <row r="19" spans="1:14" ht="30.75" thickBot="1" x14ac:dyDescent="0.3">
      <c r="A19" s="896" t="s">
        <v>1647</v>
      </c>
      <c r="B19" s="897"/>
      <c r="C19" s="898"/>
      <c r="D19" s="898"/>
      <c r="E19" s="894"/>
      <c r="F19" s="894"/>
      <c r="G19" s="894"/>
      <c r="H19" s="895"/>
      <c r="I19" s="1881"/>
      <c r="J19" s="1882"/>
    </row>
    <row r="20" spans="1:14" ht="16.5" thickTop="1" x14ac:dyDescent="0.25">
      <c r="G20" s="899"/>
      <c r="H20" s="872"/>
      <c r="I20" s="1881"/>
      <c r="J20" s="1882"/>
    </row>
    <row r="21" spans="1:14" ht="15.75" thickBot="1" x14ac:dyDescent="0.3">
      <c r="A21" s="900"/>
      <c r="B21" s="872"/>
      <c r="C21" s="872"/>
      <c r="D21" s="872"/>
      <c r="E21" s="872"/>
      <c r="F21" s="872"/>
      <c r="G21" s="872"/>
      <c r="H21" s="872"/>
      <c r="I21" s="1881"/>
      <c r="J21" s="1882"/>
    </row>
    <row r="22" spans="1:14" ht="21.75" thickBot="1" x14ac:dyDescent="0.3">
      <c r="A22" s="1883" t="s">
        <v>1648</v>
      </c>
      <c r="B22" s="1884"/>
      <c r="C22" s="1884"/>
      <c r="D22" s="1884"/>
      <c r="E22" s="1884"/>
      <c r="F22" s="1884"/>
      <c r="G22" s="1884"/>
      <c r="H22" s="1884"/>
      <c r="I22" s="1884"/>
      <c r="J22" s="1884"/>
      <c r="K22" s="1884"/>
      <c r="L22" s="1884"/>
      <c r="M22" s="1884"/>
      <c r="N22" s="1885"/>
    </row>
    <row r="23" spans="1:14" ht="15.75" thickBot="1" x14ac:dyDescent="0.3">
      <c r="A23" s="901"/>
      <c r="B23" s="902"/>
      <c r="C23" s="902"/>
      <c r="D23" s="902"/>
      <c r="E23" s="902"/>
      <c r="F23" s="902"/>
      <c r="G23" s="902"/>
      <c r="H23" s="902"/>
      <c r="I23" s="902"/>
      <c r="J23" s="902"/>
      <c r="K23" s="872"/>
      <c r="L23" s="872"/>
      <c r="M23" s="872"/>
    </row>
    <row r="24" spans="1:14" ht="47.25" x14ac:dyDescent="0.25">
      <c r="A24" s="903" t="s">
        <v>1649</v>
      </c>
      <c r="B24" s="904" t="s">
        <v>1650</v>
      </c>
      <c r="C24" s="904"/>
      <c r="D24" s="904"/>
      <c r="E24" s="904" t="s">
        <v>1651</v>
      </c>
      <c r="F24" s="904" t="s">
        <v>1652</v>
      </c>
      <c r="G24" s="904" t="s">
        <v>1653</v>
      </c>
      <c r="H24" s="904" t="s">
        <v>1654</v>
      </c>
      <c r="I24" s="904" t="s">
        <v>209</v>
      </c>
      <c r="J24" s="904" t="s">
        <v>1655</v>
      </c>
      <c r="K24" s="904" t="s">
        <v>1656</v>
      </c>
      <c r="L24" s="904" t="s">
        <v>211</v>
      </c>
      <c r="M24" s="904" t="s">
        <v>1657</v>
      </c>
      <c r="N24" s="904" t="s">
        <v>1658</v>
      </c>
    </row>
    <row r="25" spans="1:14" x14ac:dyDescent="0.25">
      <c r="A25" s="1869" t="s">
        <v>1639</v>
      </c>
      <c r="B25" s="2460"/>
      <c r="C25" s="2460"/>
      <c r="D25" s="2460"/>
      <c r="E25" s="2461"/>
      <c r="F25" s="2461"/>
      <c r="G25" s="2462"/>
      <c r="H25" s="2463"/>
      <c r="I25" s="2464" t="s">
        <v>1632</v>
      </c>
      <c r="J25" s="2465">
        <v>1</v>
      </c>
      <c r="K25" s="2466">
        <v>0.98360000000000003</v>
      </c>
      <c r="L25" s="905">
        <f>IFERROR(IF(K25/J25&gt;1,100%,K25/J25),"")</f>
        <v>0.98360000000000003</v>
      </c>
      <c r="M25" s="906"/>
      <c r="N25" s="906"/>
    </row>
    <row r="26" spans="1:14" ht="18" x14ac:dyDescent="0.25">
      <c r="A26" s="1870"/>
      <c r="B26" s="2467"/>
      <c r="C26" s="2467"/>
      <c r="D26" s="2467"/>
      <c r="E26" s="2461"/>
      <c r="F26" s="2461"/>
      <c r="G26" s="2462"/>
      <c r="H26" s="2463"/>
      <c r="I26" s="2464" t="s">
        <v>1633</v>
      </c>
      <c r="J26" s="2465">
        <v>0.4</v>
      </c>
      <c r="K26" s="2466">
        <v>0.5</v>
      </c>
      <c r="L26" s="905">
        <f>IFERROR(IF(K26/J26&gt;1,100%,K26/J26),"")</f>
        <v>1</v>
      </c>
      <c r="M26" s="906"/>
      <c r="N26" s="906"/>
    </row>
    <row r="27" spans="1:14" ht="18" x14ac:dyDescent="0.25">
      <c r="A27" s="1870"/>
      <c r="B27" s="2467"/>
      <c r="C27" s="2467"/>
      <c r="D27" s="2467"/>
      <c r="E27" s="2461"/>
      <c r="F27" s="2461"/>
      <c r="G27" s="2462"/>
      <c r="H27" s="2463"/>
      <c r="I27" s="2464"/>
      <c r="J27" s="2465"/>
      <c r="K27" s="2466"/>
      <c r="L27" s="905"/>
      <c r="M27" s="906"/>
      <c r="N27" s="906"/>
    </row>
    <row r="28" spans="1:14" ht="18" x14ac:dyDescent="0.25">
      <c r="A28" s="1870"/>
      <c r="B28" s="2467"/>
      <c r="C28" s="2467"/>
      <c r="D28" s="2467"/>
      <c r="E28" s="2461"/>
      <c r="F28" s="2461"/>
      <c r="G28" s="2462"/>
      <c r="H28" s="2463"/>
      <c r="I28" s="2464" t="s">
        <v>1632</v>
      </c>
      <c r="J28" s="2465">
        <v>0.8</v>
      </c>
      <c r="K28" s="2466">
        <v>0</v>
      </c>
      <c r="L28" s="905">
        <f t="shared" ref="L28:L46" si="1">IFERROR(IF(K28/J28&gt;1,100%,K28/J28),"")</f>
        <v>0</v>
      </c>
      <c r="M28" s="906"/>
      <c r="N28" s="906"/>
    </row>
    <row r="29" spans="1:14" ht="18" x14ac:dyDescent="0.25">
      <c r="A29" s="1870"/>
      <c r="B29" s="2467"/>
      <c r="C29" s="2467"/>
      <c r="D29" s="2467"/>
      <c r="E29" s="2461"/>
      <c r="F29" s="2461"/>
      <c r="G29" s="2462"/>
      <c r="H29" s="2463"/>
      <c r="I29" s="2464" t="s">
        <v>1632</v>
      </c>
      <c r="J29" s="2465">
        <v>0.9</v>
      </c>
      <c r="K29" s="2466">
        <v>0</v>
      </c>
      <c r="L29" s="905">
        <f t="shared" si="1"/>
        <v>0</v>
      </c>
      <c r="M29" s="906"/>
      <c r="N29" s="906"/>
    </row>
    <row r="30" spans="1:14" ht="18" x14ac:dyDescent="0.25">
      <c r="A30" s="1871"/>
      <c r="B30" s="2467"/>
      <c r="C30" s="2467"/>
      <c r="D30" s="2467"/>
      <c r="E30" s="2461"/>
      <c r="F30" s="2461"/>
      <c r="G30" s="2462"/>
      <c r="H30" s="2463"/>
      <c r="I30" s="2464" t="s">
        <v>1632</v>
      </c>
      <c r="J30" s="2465">
        <v>0.4</v>
      </c>
      <c r="K30" s="2466">
        <v>0.5</v>
      </c>
      <c r="L30" s="905">
        <f t="shared" si="1"/>
        <v>1</v>
      </c>
      <c r="M30" s="906"/>
      <c r="N30" s="906"/>
    </row>
    <row r="31" spans="1:14" ht="18" x14ac:dyDescent="0.25">
      <c r="A31" s="1869" t="s">
        <v>1641</v>
      </c>
      <c r="B31" s="2467"/>
      <c r="C31" s="2467"/>
      <c r="D31" s="2467"/>
      <c r="E31" s="2461"/>
      <c r="F31" s="2461"/>
      <c r="G31" s="2462"/>
      <c r="H31" s="2468"/>
      <c r="I31" s="2464" t="s">
        <v>1632</v>
      </c>
      <c r="J31" s="2465">
        <v>0.4</v>
      </c>
      <c r="K31" s="2466">
        <v>0.5</v>
      </c>
      <c r="L31" s="905">
        <f t="shared" si="1"/>
        <v>1</v>
      </c>
      <c r="M31" s="906"/>
      <c r="N31" s="906"/>
    </row>
    <row r="32" spans="1:14" ht="18" x14ac:dyDescent="0.25">
      <c r="A32" s="1870"/>
      <c r="B32" s="2467"/>
      <c r="C32" s="2467"/>
      <c r="D32" s="2467"/>
      <c r="E32" s="2461"/>
      <c r="F32" s="2461"/>
      <c r="G32" s="2462"/>
      <c r="H32" s="2468"/>
      <c r="I32" s="2464" t="s">
        <v>1633</v>
      </c>
      <c r="J32" s="2465">
        <v>0.4</v>
      </c>
      <c r="K32" s="2466">
        <v>0.5</v>
      </c>
      <c r="L32" s="905">
        <f t="shared" si="1"/>
        <v>1</v>
      </c>
      <c r="M32" s="906"/>
      <c r="N32" s="906"/>
    </row>
    <row r="33" spans="1:14" ht="18" x14ac:dyDescent="0.25">
      <c r="A33" s="1870"/>
      <c r="B33" s="2467"/>
      <c r="C33" s="2467"/>
      <c r="D33" s="2467"/>
      <c r="E33" s="2461"/>
      <c r="F33" s="2461"/>
      <c r="G33" s="2462"/>
      <c r="H33" s="2468"/>
      <c r="I33" s="2464" t="s">
        <v>1632</v>
      </c>
      <c r="J33" s="2465">
        <v>0.8</v>
      </c>
      <c r="K33" s="2466">
        <v>0.5</v>
      </c>
      <c r="L33" s="905">
        <f t="shared" si="1"/>
        <v>0.625</v>
      </c>
      <c r="M33" s="906"/>
      <c r="N33" s="906"/>
    </row>
    <row r="34" spans="1:14" ht="18" x14ac:dyDescent="0.25">
      <c r="A34" s="1870"/>
      <c r="B34" s="2467"/>
      <c r="C34" s="2467"/>
      <c r="D34" s="2467"/>
      <c r="E34" s="2461"/>
      <c r="F34" s="2461"/>
      <c r="G34" s="2462"/>
      <c r="H34" s="2468"/>
      <c r="I34" s="2464" t="s">
        <v>1633</v>
      </c>
      <c r="J34" s="2465">
        <v>0.5</v>
      </c>
      <c r="K34" s="2466">
        <v>0.5</v>
      </c>
      <c r="L34" s="905">
        <f t="shared" si="1"/>
        <v>1</v>
      </c>
      <c r="M34" s="906"/>
      <c r="N34" s="906"/>
    </row>
    <row r="35" spans="1:14" ht="18" x14ac:dyDescent="0.25">
      <c r="A35" s="1871"/>
      <c r="B35" s="2467"/>
      <c r="C35" s="2467"/>
      <c r="D35" s="2467"/>
      <c r="E35" s="2461"/>
      <c r="F35" s="2461"/>
      <c r="G35" s="2462"/>
      <c r="H35" s="2468"/>
      <c r="I35" s="2464"/>
      <c r="J35" s="2465"/>
      <c r="K35" s="2466"/>
      <c r="L35" s="905" t="str">
        <f t="shared" si="1"/>
        <v/>
      </c>
      <c r="M35" s="906"/>
      <c r="N35" s="906"/>
    </row>
    <row r="36" spans="1:14" ht="18" x14ac:dyDescent="0.25">
      <c r="A36" s="1869" t="s">
        <v>1643</v>
      </c>
      <c r="B36" s="2467"/>
      <c r="C36" s="2467"/>
      <c r="D36" s="2467"/>
      <c r="E36" s="2461"/>
      <c r="F36" s="2461"/>
      <c r="G36" s="2461"/>
      <c r="H36" s="2461"/>
      <c r="I36" s="2464" t="s">
        <v>1633</v>
      </c>
      <c r="J36" s="2465">
        <v>0.4</v>
      </c>
      <c r="K36" s="2466">
        <v>0.5</v>
      </c>
      <c r="L36" s="905">
        <f t="shared" si="1"/>
        <v>1</v>
      </c>
      <c r="M36" s="906"/>
      <c r="N36" s="906"/>
    </row>
    <row r="37" spans="1:14" ht="18" x14ac:dyDescent="0.25">
      <c r="A37" s="1870"/>
      <c r="B37" s="2467"/>
      <c r="C37" s="2467"/>
      <c r="D37" s="2467"/>
      <c r="E37" s="2461"/>
      <c r="F37" s="2461"/>
      <c r="G37" s="2461"/>
      <c r="H37" s="2461"/>
      <c r="I37" s="2464" t="s">
        <v>1633</v>
      </c>
      <c r="J37" s="2465">
        <v>0.4</v>
      </c>
      <c r="K37" s="2466">
        <v>0.5</v>
      </c>
      <c r="L37" s="905">
        <v>0</v>
      </c>
      <c r="M37" s="906"/>
      <c r="N37" s="906"/>
    </row>
    <row r="38" spans="1:14" ht="18" x14ac:dyDescent="0.25">
      <c r="A38" s="1870"/>
      <c r="B38" s="2467"/>
      <c r="C38" s="2467"/>
      <c r="D38" s="2467"/>
      <c r="E38" s="2461"/>
      <c r="F38" s="2461"/>
      <c r="G38" s="2461"/>
      <c r="H38" s="2461"/>
      <c r="I38" s="2464" t="s">
        <v>1632</v>
      </c>
      <c r="J38" s="2465">
        <v>0.4</v>
      </c>
      <c r="K38" s="2466">
        <v>0.5</v>
      </c>
      <c r="L38" s="905">
        <v>0</v>
      </c>
      <c r="M38" s="906"/>
      <c r="N38" s="906"/>
    </row>
    <row r="39" spans="1:14" ht="18" x14ac:dyDescent="0.25">
      <c r="A39" s="1870"/>
      <c r="B39" s="2467"/>
      <c r="C39" s="2467"/>
      <c r="D39" s="2467"/>
      <c r="E39" s="2461"/>
      <c r="F39" s="2461"/>
      <c r="G39" s="2461"/>
      <c r="H39" s="2461"/>
      <c r="I39" s="2464" t="s">
        <v>1633</v>
      </c>
      <c r="J39" s="2465">
        <v>0.4</v>
      </c>
      <c r="K39" s="2466">
        <v>0.5</v>
      </c>
      <c r="L39" s="905">
        <f t="shared" si="1"/>
        <v>1</v>
      </c>
      <c r="M39" s="906"/>
      <c r="N39" s="906"/>
    </row>
    <row r="40" spans="1:14" ht="18" x14ac:dyDescent="0.25">
      <c r="A40" s="1871"/>
      <c r="B40" s="2467"/>
      <c r="C40" s="2467"/>
      <c r="D40" s="2467"/>
      <c r="E40" s="2461"/>
      <c r="F40" s="2461"/>
      <c r="G40" s="2461"/>
      <c r="H40" s="2461"/>
      <c r="I40" s="2464"/>
      <c r="J40" s="2465"/>
      <c r="K40" s="2466"/>
      <c r="L40" s="905" t="str">
        <f t="shared" si="1"/>
        <v/>
      </c>
      <c r="M40" s="906"/>
      <c r="N40" s="906"/>
    </row>
    <row r="41" spans="1:14" ht="18" x14ac:dyDescent="0.25">
      <c r="A41" s="1872" t="s">
        <v>1644</v>
      </c>
      <c r="B41" s="2467"/>
      <c r="C41" s="2467"/>
      <c r="D41" s="2467"/>
      <c r="E41" s="2469"/>
      <c r="F41" s="2469"/>
      <c r="G41" s="2461"/>
      <c r="H41" s="2461"/>
      <c r="I41" s="2464" t="s">
        <v>1632</v>
      </c>
      <c r="J41" s="2465">
        <v>0.64</v>
      </c>
      <c r="K41" s="2466">
        <v>0.5</v>
      </c>
      <c r="L41" s="905">
        <f t="shared" si="1"/>
        <v>0.78125</v>
      </c>
      <c r="M41" s="906"/>
      <c r="N41" s="906"/>
    </row>
    <row r="42" spans="1:14" ht="18" x14ac:dyDescent="0.25">
      <c r="A42" s="1872"/>
      <c r="B42" s="2467"/>
      <c r="C42" s="2467"/>
      <c r="D42" s="2467"/>
      <c r="E42" s="2469"/>
      <c r="F42" s="2469"/>
      <c r="G42" s="2469"/>
      <c r="H42" s="2469"/>
      <c r="I42" s="2464" t="s">
        <v>1632</v>
      </c>
      <c r="J42" s="2465">
        <v>0.4</v>
      </c>
      <c r="K42" s="2466">
        <v>0.5</v>
      </c>
      <c r="L42" s="905">
        <f t="shared" si="1"/>
        <v>1</v>
      </c>
      <c r="M42" s="906"/>
      <c r="N42" s="906"/>
    </row>
    <row r="43" spans="1:14" ht="18" x14ac:dyDescent="0.25">
      <c r="A43" s="1872"/>
      <c r="B43" s="2467"/>
      <c r="C43" s="2467"/>
      <c r="D43" s="2467"/>
      <c r="E43" s="2461"/>
      <c r="F43" s="2461"/>
      <c r="G43" s="2461"/>
      <c r="H43" s="2461"/>
      <c r="I43" s="2464" t="s">
        <v>1633</v>
      </c>
      <c r="J43" s="2465">
        <v>0.4</v>
      </c>
      <c r="K43" s="2466">
        <v>0.5</v>
      </c>
      <c r="L43" s="905">
        <f t="shared" si="1"/>
        <v>1</v>
      </c>
      <c r="M43" s="906"/>
      <c r="N43" s="906"/>
    </row>
    <row r="44" spans="1:14" ht="18" x14ac:dyDescent="0.25">
      <c r="A44" s="1872"/>
      <c r="B44" s="2467"/>
      <c r="C44" s="2467"/>
      <c r="D44" s="2467"/>
      <c r="E44" s="2461"/>
      <c r="F44" s="2461"/>
      <c r="G44" s="2461"/>
      <c r="H44" s="2461"/>
      <c r="I44" s="2464"/>
      <c r="J44" s="2465">
        <v>0.95</v>
      </c>
      <c r="K44" s="2466">
        <v>0.5</v>
      </c>
      <c r="L44" s="905">
        <f t="shared" si="1"/>
        <v>0.52631578947368418</v>
      </c>
      <c r="M44" s="906"/>
      <c r="N44" s="906"/>
    </row>
    <row r="45" spans="1:14" ht="18" x14ac:dyDescent="0.25">
      <c r="A45" s="1872"/>
      <c r="B45" s="2467"/>
      <c r="C45" s="2467"/>
      <c r="D45" s="2467"/>
      <c r="E45" s="2461"/>
      <c r="F45" s="2461"/>
      <c r="G45" s="2461"/>
      <c r="H45" s="2461"/>
      <c r="I45" s="2464"/>
      <c r="J45" s="2465"/>
      <c r="K45" s="2466"/>
      <c r="L45" s="905" t="str">
        <f t="shared" si="1"/>
        <v/>
      </c>
      <c r="M45" s="906"/>
      <c r="N45" s="906"/>
    </row>
    <row r="46" spans="1:14" ht="18" x14ac:dyDescent="0.25">
      <c r="A46" s="1872"/>
      <c r="B46" s="2467"/>
      <c r="C46" s="2467"/>
      <c r="D46" s="2467"/>
      <c r="E46" s="2461"/>
      <c r="F46" s="2461"/>
      <c r="G46" s="2461"/>
      <c r="H46" s="2461"/>
      <c r="I46" s="2464"/>
      <c r="J46" s="2465">
        <v>0.4</v>
      </c>
      <c r="K46" s="2466">
        <v>0.5</v>
      </c>
      <c r="L46" s="905">
        <f t="shared" si="1"/>
        <v>1</v>
      </c>
      <c r="M46" s="906"/>
      <c r="N46" s="906"/>
    </row>
  </sheetData>
  <sheetProtection algorithmName="SHA-512" hashValue="kx8n60ztmxz643qqK+veXOC8cOUVyvuWzFK0Za6fQrIrP5cpf2D365E02A6bE98lMpvcfzwKrwopDbPVviH4Bw==" saltValue="3Lk49nvrgcpenrzl9FcUYA==" spinCount="100000" sheet="1" objects="1" scenarios="1"/>
  <mergeCells count="19">
    <mergeCell ref="A25:A30"/>
    <mergeCell ref="A31:A35"/>
    <mergeCell ref="A36:A40"/>
    <mergeCell ref="A41:A46"/>
    <mergeCell ref="L12:M12"/>
    <mergeCell ref="L13:M13"/>
    <mergeCell ref="L14:M14"/>
    <mergeCell ref="I17:J21"/>
    <mergeCell ref="A22:N22"/>
    <mergeCell ref="I11:M11"/>
    <mergeCell ref="A2:A3"/>
    <mergeCell ref="B2:L3"/>
    <mergeCell ref="M2:N2"/>
    <mergeCell ref="M3:N3"/>
    <mergeCell ref="A4:H4"/>
    <mergeCell ref="B6:F6"/>
    <mergeCell ref="B7:F7"/>
    <mergeCell ref="B8:D8"/>
    <mergeCell ref="B9:F9"/>
  </mergeCells>
  <conditionalFormatting sqref="B2">
    <cfRule type="cellIs" dxfId="97" priority="25" operator="equal">
      <formula>"ERROR"</formula>
    </cfRule>
  </conditionalFormatting>
  <conditionalFormatting sqref="I13:I14">
    <cfRule type="cellIs" dxfId="96" priority="11" stopIfTrue="1" operator="greaterThanOrEqual">
      <formula>1</formula>
    </cfRule>
    <cfRule type="cellIs" dxfId="95" priority="12" stopIfTrue="1" operator="equal">
      <formula>0</formula>
    </cfRule>
  </conditionalFormatting>
  <conditionalFormatting sqref="K13:K14">
    <cfRule type="cellIs" dxfId="94" priority="7" stopIfTrue="1" operator="greaterThanOrEqual">
      <formula>0.75</formula>
    </cfRule>
    <cfRule type="cellIs" dxfId="93" priority="8" stopIfTrue="1" operator="lessThan">
      <formula>0.75</formula>
    </cfRule>
  </conditionalFormatting>
  <conditionalFormatting sqref="L13">
    <cfRule type="containsText" dxfId="92" priority="3" operator="containsText" text="INEFICAZ">
      <formula>NOT(ISERROR(SEARCH("INEFICAZ",L13)))</formula>
    </cfRule>
    <cfRule type="containsText" dxfId="91" priority="4" operator="containsText" text="EFICAZ">
      <formula>NOT(ISERROR(SEARCH("EFICAZ",L13)))</formula>
    </cfRule>
  </conditionalFormatting>
  <conditionalFormatting sqref="L14">
    <cfRule type="containsText" dxfId="90" priority="5" operator="containsText" text="INEFICIENTE">
      <formula>NOT(ISERROR(SEARCH("INEFICIENTE",L14)))</formula>
    </cfRule>
    <cfRule type="containsText" dxfId="89" priority="6" operator="containsText" text="EFICIENTE">
      <formula>NOT(ISERROR(SEARCH("EFICIENTE",L14)))</formula>
    </cfRule>
  </conditionalFormatting>
  <conditionalFormatting sqref="M2:M3">
    <cfRule type="cellIs" dxfId="88" priority="15" operator="equal">
      <formula>"INEXISTENTE"</formula>
    </cfRule>
    <cfRule type="cellIs" dxfId="87" priority="16" operator="equal">
      <formula>"INADECUADO"</formula>
    </cfRule>
    <cfRule type="cellIs" dxfId="86" priority="17" operator="equal">
      <formula>"PARCIALMENTE ADECUADO"</formula>
    </cfRule>
    <cfRule type="cellIs" dxfId="85" priority="18" operator="equal">
      <formula>"ADECUADO"</formula>
    </cfRule>
    <cfRule type="cellIs" dxfId="84" priority="19" operator="equal">
      <formula>"ERROR"</formula>
    </cfRule>
  </conditionalFormatting>
  <dataValidations count="1">
    <dataValidation type="list" allowBlank="1" showInputMessage="1" showErrorMessage="1" sqref="I25:I46">
      <formula1>$ACR$3:$ACR$11</formula1>
    </dataValidation>
  </dataValidations>
  <pageMargins left="0.7" right="0.7" top="0.75" bottom="0.75" header="0.3" footer="0.3"/>
  <ignoredErrors>
    <ignoredError sqref="I7:I9" unlockedFormula="1"/>
  </ignoredErrors>
  <drawing r:id="rId1"/>
  <legacy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F201"/>
  <sheetViews>
    <sheetView zoomScaleNormal="100" workbookViewId="0">
      <selection activeCell="E117" sqref="E117"/>
    </sheetView>
  </sheetViews>
  <sheetFormatPr baseColWidth="10" defaultColWidth="11.42578125" defaultRowHeight="14.25" x14ac:dyDescent="0.2"/>
  <cols>
    <col min="1" max="1" width="25.7109375" style="30" customWidth="1"/>
    <col min="2" max="2" width="27.85546875" style="30" customWidth="1"/>
    <col min="3" max="3" width="23.7109375" style="30" customWidth="1"/>
    <col min="4" max="4" width="25.85546875" style="30" customWidth="1"/>
    <col min="5" max="5" width="20.5703125" style="30" customWidth="1"/>
    <col min="6" max="6" width="24" style="30" customWidth="1"/>
    <col min="7" max="7" width="22" style="30" customWidth="1"/>
    <col min="8" max="8" width="23.42578125" style="29" customWidth="1"/>
    <col min="9" max="32" width="11.42578125" style="29"/>
    <col min="33" max="16384" width="11.42578125" style="30"/>
  </cols>
  <sheetData>
    <row r="1" spans="1:32" ht="86.25" customHeight="1" x14ac:dyDescent="0.2">
      <c r="A1" s="31"/>
      <c r="B1" s="1891" t="s">
        <v>1858</v>
      </c>
      <c r="C1" s="1892"/>
      <c r="D1" s="1892"/>
      <c r="E1" s="1892"/>
      <c r="F1" s="1893"/>
      <c r="G1" s="1268" t="s">
        <v>1859</v>
      </c>
      <c r="AF1" s="30"/>
    </row>
    <row r="2" spans="1:32" ht="18" x14ac:dyDescent="0.25">
      <c r="A2" s="1886"/>
      <c r="B2" s="1886"/>
      <c r="C2" s="1886"/>
      <c r="D2" s="1886"/>
      <c r="E2" s="1886"/>
      <c r="F2" s="1886"/>
      <c r="G2" s="1886"/>
    </row>
    <row r="3" spans="1:32" x14ac:dyDescent="0.2">
      <c r="A3" s="32" t="s">
        <v>0</v>
      </c>
      <c r="B3" s="1942" t="str">
        <f>+'ANALÍTICA ESTADO SITUACIÓN F'!C6</f>
        <v xml:space="preserve">130000 - DIRECCIÓN SECTOR HÁBITAT Y AMBIENTE </v>
      </c>
      <c r="C3" s="1942"/>
      <c r="D3" s="1942"/>
      <c r="E3" s="1942"/>
      <c r="F3" s="32"/>
      <c r="G3" s="11"/>
    </row>
    <row r="4" spans="1:32" x14ac:dyDescent="0.2">
      <c r="A4" s="32" t="s">
        <v>1</v>
      </c>
      <c r="B4" s="1936" t="str">
        <f>+'ANALÍTICA ESTADO SITUACIÓN F'!C7</f>
        <v>208 - Caja de Vivienda Popular – CVP</v>
      </c>
      <c r="C4" s="1937"/>
      <c r="D4" s="1937"/>
      <c r="E4" s="1937"/>
      <c r="F4" s="34" t="s">
        <v>2</v>
      </c>
      <c r="G4" s="2470">
        <v>2024</v>
      </c>
    </row>
    <row r="5" spans="1:32" x14ac:dyDescent="0.2">
      <c r="A5" s="1190" t="s">
        <v>1781</v>
      </c>
      <c r="B5" s="2471">
        <f>+'ANALÍTICA ESTADO SITUACIÓN F'!C8</f>
        <v>2025</v>
      </c>
      <c r="C5" s="2471"/>
      <c r="D5" s="32"/>
      <c r="E5" s="32"/>
      <c r="F5" s="32" t="s">
        <v>3</v>
      </c>
      <c r="G5" s="2472">
        <v>56</v>
      </c>
    </row>
    <row r="6" spans="1:32" x14ac:dyDescent="0.2">
      <c r="A6" s="32" t="s">
        <v>4</v>
      </c>
      <c r="B6" s="2473">
        <v>45703</v>
      </c>
      <c r="C6" s="2474"/>
      <c r="D6" s="32"/>
      <c r="E6" s="11"/>
      <c r="F6" s="34" t="s">
        <v>5</v>
      </c>
      <c r="G6" s="2475">
        <v>45366</v>
      </c>
    </row>
    <row r="7" spans="1:32" ht="15" thickBot="1" x14ac:dyDescent="0.25">
      <c r="A7" s="32"/>
      <c r="B7" s="32"/>
      <c r="C7" s="32"/>
      <c r="D7" s="32"/>
      <c r="E7" s="32"/>
      <c r="F7" s="32"/>
      <c r="G7" s="32"/>
    </row>
    <row r="8" spans="1:32" ht="15.75" customHeight="1" thickTop="1" thickBot="1" x14ac:dyDescent="0.25">
      <c r="A8" s="2476" t="s">
        <v>6</v>
      </c>
      <c r="B8" s="2476"/>
      <c r="C8" s="2476"/>
      <c r="D8" s="2476"/>
      <c r="E8" s="2476"/>
      <c r="F8" s="2476"/>
      <c r="G8" s="2476"/>
    </row>
    <row r="9" spans="1:32" ht="39.75" thickTop="1" thickBot="1" x14ac:dyDescent="0.25">
      <c r="A9" s="2477" t="s">
        <v>7</v>
      </c>
      <c r="B9" s="2478"/>
      <c r="C9" s="2479" t="s">
        <v>8</v>
      </c>
      <c r="D9" s="2479" t="s">
        <v>9</v>
      </c>
      <c r="E9" s="2479" t="s">
        <v>10</v>
      </c>
      <c r="F9" s="2479" t="s">
        <v>11</v>
      </c>
      <c r="G9" s="2480" t="s">
        <v>439</v>
      </c>
    </row>
    <row r="10" spans="1:32" ht="15" customHeight="1" thickTop="1" x14ac:dyDescent="0.2">
      <c r="A10" s="1887" t="s">
        <v>13</v>
      </c>
      <c r="B10" s="1888" t="s">
        <v>14</v>
      </c>
      <c r="C10" s="222">
        <v>20</v>
      </c>
      <c r="D10" s="223">
        <v>589000000</v>
      </c>
      <c r="E10" s="2481">
        <f>IFERROR(D10/$D$21,"")</f>
        <v>0.27113288415069109</v>
      </c>
      <c r="F10" s="223">
        <v>1200000</v>
      </c>
      <c r="G10" s="2484">
        <f>IFERROR(F10/D10,"")</f>
        <v>2.0373514431239388E-3</v>
      </c>
    </row>
    <row r="11" spans="1:32" x14ac:dyDescent="0.2">
      <c r="A11" s="1889" t="s">
        <v>15</v>
      </c>
      <c r="B11" s="1890" t="s">
        <v>16</v>
      </c>
      <c r="C11" s="224">
        <v>36</v>
      </c>
      <c r="D11" s="225">
        <v>776460200</v>
      </c>
      <c r="E11" s="2481">
        <f t="shared" ref="E11:E20" si="0">IFERROR(D11/$D$21,"")</f>
        <v>0.35742596511752539</v>
      </c>
      <c r="F11" s="225">
        <v>435124200</v>
      </c>
      <c r="G11" s="2484">
        <f t="shared" ref="G11:G21" si="1">IFERROR(F11/D11,"")</f>
        <v>0.56039472467487705</v>
      </c>
    </row>
    <row r="12" spans="1:32" x14ac:dyDescent="0.2">
      <c r="A12" s="1889" t="s">
        <v>17</v>
      </c>
      <c r="B12" s="1890" t="s">
        <v>18</v>
      </c>
      <c r="C12" s="224">
        <v>5</v>
      </c>
      <c r="D12" s="225">
        <v>20000000</v>
      </c>
      <c r="E12" s="2481">
        <f t="shared" si="0"/>
        <v>9.2065495467127719E-3</v>
      </c>
      <c r="F12" s="225">
        <v>1000000</v>
      </c>
      <c r="G12" s="2484">
        <f t="shared" si="1"/>
        <v>0.05</v>
      </c>
    </row>
    <row r="13" spans="1:32" x14ac:dyDescent="0.2">
      <c r="A13" s="1889" t="s">
        <v>19</v>
      </c>
      <c r="B13" s="1890" t="s">
        <v>20</v>
      </c>
      <c r="C13" s="224">
        <v>12</v>
      </c>
      <c r="D13" s="225">
        <v>32342000</v>
      </c>
      <c r="E13" s="2481">
        <f t="shared" si="0"/>
        <v>1.4887911271989223E-2</v>
      </c>
      <c r="F13" s="225">
        <v>22453253</v>
      </c>
      <c r="G13" s="2484">
        <f t="shared" si="1"/>
        <v>0.69424441902170553</v>
      </c>
    </row>
    <row r="14" spans="1:32" x14ac:dyDescent="0.2">
      <c r="A14" s="1889" t="s">
        <v>21</v>
      </c>
      <c r="B14" s="1890" t="s">
        <v>22</v>
      </c>
      <c r="C14" s="224">
        <v>200</v>
      </c>
      <c r="D14" s="225">
        <v>754564320</v>
      </c>
      <c r="E14" s="2481">
        <f t="shared" si="0"/>
        <v>0.34734668991308154</v>
      </c>
      <c r="F14" s="225">
        <v>464530000</v>
      </c>
      <c r="G14" s="2484">
        <f t="shared" si="1"/>
        <v>0.61562677652184772</v>
      </c>
    </row>
    <row r="15" spans="1:32" x14ac:dyDescent="0.2">
      <c r="A15" s="1889" t="s">
        <v>23</v>
      </c>
      <c r="B15" s="1890" t="s">
        <v>24</v>
      </c>
      <c r="C15" s="224"/>
      <c r="D15" s="225"/>
      <c r="E15" s="2481">
        <f t="shared" si="0"/>
        <v>0</v>
      </c>
      <c r="F15" s="225"/>
      <c r="G15" s="2484" t="str">
        <f t="shared" si="1"/>
        <v/>
      </c>
    </row>
    <row r="16" spans="1:32" x14ac:dyDescent="0.2">
      <c r="A16" s="1889" t="s">
        <v>25</v>
      </c>
      <c r="B16" s="1890" t="s">
        <v>26</v>
      </c>
      <c r="C16" s="224"/>
      <c r="D16" s="225"/>
      <c r="E16" s="2481">
        <f t="shared" si="0"/>
        <v>0</v>
      </c>
      <c r="F16" s="225">
        <v>0</v>
      </c>
      <c r="G16" s="2484" t="str">
        <f t="shared" si="1"/>
        <v/>
      </c>
    </row>
    <row r="17" spans="1:8" x14ac:dyDescent="0.2">
      <c r="A17" s="1889" t="s">
        <v>27</v>
      </c>
      <c r="B17" s="1890" t="s">
        <v>28</v>
      </c>
      <c r="C17" s="224"/>
      <c r="D17" s="225"/>
      <c r="E17" s="2481">
        <f t="shared" si="0"/>
        <v>0</v>
      </c>
      <c r="F17" s="225"/>
      <c r="G17" s="2484" t="str">
        <f t="shared" si="1"/>
        <v/>
      </c>
    </row>
    <row r="18" spans="1:8" x14ac:dyDescent="0.2">
      <c r="A18" s="1889" t="s">
        <v>29</v>
      </c>
      <c r="B18" s="1890" t="s">
        <v>30</v>
      </c>
      <c r="C18" s="224"/>
      <c r="D18" s="225"/>
      <c r="E18" s="2481">
        <f t="shared" si="0"/>
        <v>0</v>
      </c>
      <c r="F18" s="225"/>
      <c r="G18" s="2484" t="str">
        <f t="shared" si="1"/>
        <v/>
      </c>
    </row>
    <row r="19" spans="1:8" x14ac:dyDescent="0.2">
      <c r="A19" s="1889" t="s">
        <v>31</v>
      </c>
      <c r="B19" s="1890" t="s">
        <v>32</v>
      </c>
      <c r="C19" s="226"/>
      <c r="D19" s="227"/>
      <c r="E19" s="2481">
        <f t="shared" si="0"/>
        <v>0</v>
      </c>
      <c r="F19" s="227"/>
      <c r="G19" s="2484" t="str">
        <f t="shared" si="1"/>
        <v/>
      </c>
    </row>
    <row r="20" spans="1:8" ht="15" thickBot="1" x14ac:dyDescent="0.25">
      <c r="A20" s="1898" t="s">
        <v>33</v>
      </c>
      <c r="B20" s="1899" t="s">
        <v>34</v>
      </c>
      <c r="C20" s="228"/>
      <c r="D20" s="229"/>
      <c r="E20" s="2482">
        <f t="shared" si="0"/>
        <v>0</v>
      </c>
      <c r="F20" s="229"/>
      <c r="G20" s="2485" t="str">
        <f t="shared" si="1"/>
        <v/>
      </c>
      <c r="H20" s="37"/>
    </row>
    <row r="21" spans="1:8" ht="16.5" thickTop="1" thickBot="1" x14ac:dyDescent="0.3">
      <c r="A21" s="1900" t="s">
        <v>35</v>
      </c>
      <c r="B21" s="1901"/>
      <c r="C21" s="38">
        <f>SUM(C10:C20)</f>
        <v>273</v>
      </c>
      <c r="D21" s="39">
        <f>SUM(D10:D20)</f>
        <v>2172366520</v>
      </c>
      <c r="E21" s="2483">
        <f>SUM(E10:E20)</f>
        <v>1</v>
      </c>
      <c r="F21" s="39">
        <f>SUM(F10:F20)</f>
        <v>924307453</v>
      </c>
      <c r="G21" s="2486">
        <f t="shared" si="1"/>
        <v>0.42548411812201931</v>
      </c>
    </row>
    <row r="22" spans="1:8" ht="15.75" thickTop="1" thickBot="1" x14ac:dyDescent="0.25">
      <c r="A22" s="1902" t="s">
        <v>36</v>
      </c>
      <c r="B22" s="1903"/>
      <c r="C22" s="1903"/>
      <c r="D22" s="1903"/>
      <c r="E22" s="1903"/>
      <c r="F22" s="1903"/>
      <c r="G22" s="1903"/>
      <c r="H22" s="37"/>
    </row>
    <row r="23" spans="1:8" ht="15.75" thickTop="1" thickBot="1" x14ac:dyDescent="0.25">
      <c r="A23" s="1904"/>
      <c r="B23" s="1904"/>
      <c r="C23" s="1904"/>
      <c r="D23" s="1904"/>
      <c r="E23" s="1904"/>
      <c r="F23" s="1904"/>
      <c r="G23" s="1904"/>
    </row>
    <row r="24" spans="1:8" ht="39.75" thickTop="1" thickBot="1" x14ac:dyDescent="0.25">
      <c r="A24" s="1894" t="s">
        <v>37</v>
      </c>
      <c r="B24" s="1895"/>
      <c r="C24" s="35" t="s">
        <v>8</v>
      </c>
      <c r="D24" s="40" t="s">
        <v>9</v>
      </c>
      <c r="E24" s="40" t="s">
        <v>10</v>
      </c>
      <c r="F24" s="35" t="s">
        <v>11</v>
      </c>
      <c r="G24" s="36" t="s">
        <v>12</v>
      </c>
    </row>
    <row r="25" spans="1:8" ht="15" thickTop="1" x14ac:dyDescent="0.2">
      <c r="A25" s="1896" t="s">
        <v>38</v>
      </c>
      <c r="B25" s="1897"/>
      <c r="C25" s="230">
        <v>10</v>
      </c>
      <c r="D25" s="231">
        <v>633441000</v>
      </c>
      <c r="E25" s="2487">
        <f>D25/$D$97</f>
        <v>0.28574470010819886</v>
      </c>
      <c r="F25" s="223">
        <v>80000000</v>
      </c>
      <c r="G25" s="2490">
        <f>IFERROR(F25/D25,"")</f>
        <v>0.12629431943937952</v>
      </c>
    </row>
    <row r="26" spans="1:8" x14ac:dyDescent="0.2">
      <c r="A26" s="1889" t="s">
        <v>39</v>
      </c>
      <c r="B26" s="1890" t="str">
        <f t="shared" ref="B26:B69" si="2">MID(C26,3,70)</f>
        <v/>
      </c>
      <c r="C26" s="232">
        <v>36</v>
      </c>
      <c r="D26" s="223">
        <v>776460200</v>
      </c>
      <c r="E26" s="2488">
        <f t="shared" ref="E26:E89" si="3">D26/$D$97</f>
        <v>0.35026054043699745</v>
      </c>
      <c r="F26" s="225">
        <v>435124200</v>
      </c>
      <c r="G26" s="2491">
        <f>IFERROR(F26/D26,"")</f>
        <v>0.56039472467487705</v>
      </c>
    </row>
    <row r="27" spans="1:8" x14ac:dyDescent="0.2">
      <c r="A27" s="1889" t="s">
        <v>40</v>
      </c>
      <c r="B27" s="1890" t="str">
        <f t="shared" si="2"/>
        <v/>
      </c>
      <c r="C27" s="232">
        <v>5</v>
      </c>
      <c r="D27" s="223">
        <v>20000000</v>
      </c>
      <c r="E27" s="2488">
        <f t="shared" si="3"/>
        <v>9.0219831083936421E-3</v>
      </c>
      <c r="F27" s="225">
        <v>1000000</v>
      </c>
      <c r="G27" s="2491">
        <f t="shared" ref="G27:G90" si="4">IFERROR(F27/D27,"")</f>
        <v>0.05</v>
      </c>
    </row>
    <row r="28" spans="1:8" x14ac:dyDescent="0.2">
      <c r="A28" s="1889" t="s">
        <v>41</v>
      </c>
      <c r="B28" s="1890" t="str">
        <f t="shared" si="2"/>
        <v/>
      </c>
      <c r="C28" s="232">
        <v>12</v>
      </c>
      <c r="D28" s="223">
        <v>32342000</v>
      </c>
      <c r="E28" s="2488">
        <f t="shared" si="3"/>
        <v>1.4589448884583358E-2</v>
      </c>
      <c r="F28" s="225">
        <v>22453253</v>
      </c>
      <c r="G28" s="2491">
        <f t="shared" si="4"/>
        <v>0.69424441902170553</v>
      </c>
    </row>
    <row r="29" spans="1:8" x14ac:dyDescent="0.2">
      <c r="A29" s="1889" t="s">
        <v>42</v>
      </c>
      <c r="B29" s="1890" t="str">
        <f t="shared" si="2"/>
        <v>0</v>
      </c>
      <c r="C29" s="232">
        <v>200</v>
      </c>
      <c r="D29" s="223">
        <v>754564320</v>
      </c>
      <c r="E29" s="2488">
        <f t="shared" si="3"/>
        <v>0.3403833274618267</v>
      </c>
      <c r="F29" s="225">
        <v>464530000</v>
      </c>
      <c r="G29" s="2491">
        <f t="shared" si="4"/>
        <v>0.61562677652184772</v>
      </c>
    </row>
    <row r="30" spans="1:8" x14ac:dyDescent="0.2">
      <c r="A30" s="1889" t="s">
        <v>43</v>
      </c>
      <c r="B30" s="1890" t="str">
        <f t="shared" si="2"/>
        <v/>
      </c>
      <c r="C30" s="232"/>
      <c r="D30" s="223"/>
      <c r="E30" s="2488">
        <f t="shared" si="3"/>
        <v>0</v>
      </c>
      <c r="F30" s="223"/>
      <c r="G30" s="2491" t="str">
        <f t="shared" si="4"/>
        <v/>
      </c>
    </row>
    <row r="31" spans="1:8" x14ac:dyDescent="0.2">
      <c r="A31" s="1889" t="s">
        <v>44</v>
      </c>
      <c r="B31" s="1890" t="str">
        <f t="shared" si="2"/>
        <v/>
      </c>
      <c r="C31" s="232"/>
      <c r="D31" s="223"/>
      <c r="E31" s="2488">
        <f t="shared" si="3"/>
        <v>0</v>
      </c>
      <c r="F31" s="223"/>
      <c r="G31" s="2491" t="str">
        <f t="shared" si="4"/>
        <v/>
      </c>
    </row>
    <row r="32" spans="1:8" x14ac:dyDescent="0.2">
      <c r="A32" s="1889" t="s">
        <v>45</v>
      </c>
      <c r="B32" s="1890" t="str">
        <f t="shared" si="2"/>
        <v/>
      </c>
      <c r="C32" s="232"/>
      <c r="D32" s="223"/>
      <c r="E32" s="2488">
        <f t="shared" si="3"/>
        <v>0</v>
      </c>
      <c r="F32" s="223"/>
      <c r="G32" s="2491" t="str">
        <f t="shared" si="4"/>
        <v/>
      </c>
    </row>
    <row r="33" spans="1:7" x14ac:dyDescent="0.2">
      <c r="A33" s="1889" t="s">
        <v>46</v>
      </c>
      <c r="B33" s="1890" t="str">
        <f t="shared" si="2"/>
        <v/>
      </c>
      <c r="C33" s="232"/>
      <c r="D33" s="223"/>
      <c r="E33" s="2488">
        <f t="shared" si="3"/>
        <v>0</v>
      </c>
      <c r="F33" s="223"/>
      <c r="G33" s="2491" t="str">
        <f t="shared" si="4"/>
        <v/>
      </c>
    </row>
    <row r="34" spans="1:7" x14ac:dyDescent="0.2">
      <c r="A34" s="1889" t="s">
        <v>47</v>
      </c>
      <c r="B34" s="1890" t="str">
        <f t="shared" si="2"/>
        <v/>
      </c>
      <c r="C34" s="232"/>
      <c r="D34" s="223"/>
      <c r="E34" s="2488">
        <f t="shared" si="3"/>
        <v>0</v>
      </c>
      <c r="F34" s="223"/>
      <c r="G34" s="2491" t="str">
        <f t="shared" si="4"/>
        <v/>
      </c>
    </row>
    <row r="35" spans="1:7" x14ac:dyDescent="0.2">
      <c r="A35" s="1889" t="s">
        <v>48</v>
      </c>
      <c r="B35" s="1890" t="str">
        <f t="shared" si="2"/>
        <v/>
      </c>
      <c r="C35" s="232"/>
      <c r="D35" s="223"/>
      <c r="E35" s="2488">
        <f t="shared" si="3"/>
        <v>0</v>
      </c>
      <c r="F35" s="223"/>
      <c r="G35" s="2491" t="str">
        <f t="shared" si="4"/>
        <v/>
      </c>
    </row>
    <row r="36" spans="1:7" x14ac:dyDescent="0.2">
      <c r="A36" s="1889" t="s">
        <v>49</v>
      </c>
      <c r="B36" s="1890" t="str">
        <f t="shared" si="2"/>
        <v/>
      </c>
      <c r="C36" s="232"/>
      <c r="D36" s="223"/>
      <c r="E36" s="2488">
        <f t="shared" si="3"/>
        <v>0</v>
      </c>
      <c r="F36" s="223"/>
      <c r="G36" s="2491" t="str">
        <f t="shared" si="4"/>
        <v/>
      </c>
    </row>
    <row r="37" spans="1:7" x14ac:dyDescent="0.2">
      <c r="A37" s="1889" t="s">
        <v>50</v>
      </c>
      <c r="B37" s="1890" t="str">
        <f t="shared" si="2"/>
        <v/>
      </c>
      <c r="C37" s="232"/>
      <c r="D37" s="223"/>
      <c r="E37" s="2488">
        <f t="shared" si="3"/>
        <v>0</v>
      </c>
      <c r="F37" s="223"/>
      <c r="G37" s="2491" t="str">
        <f t="shared" si="4"/>
        <v/>
      </c>
    </row>
    <row r="38" spans="1:7" x14ac:dyDescent="0.2">
      <c r="A38" s="1889" t="s">
        <v>51</v>
      </c>
      <c r="B38" s="1890" t="str">
        <f t="shared" si="2"/>
        <v/>
      </c>
      <c r="C38" s="232"/>
      <c r="D38" s="223"/>
      <c r="E38" s="2488">
        <f t="shared" si="3"/>
        <v>0</v>
      </c>
      <c r="F38" s="223"/>
      <c r="G38" s="2491" t="str">
        <f t="shared" si="4"/>
        <v/>
      </c>
    </row>
    <row r="39" spans="1:7" x14ac:dyDescent="0.2">
      <c r="A39" s="1889" t="s">
        <v>52</v>
      </c>
      <c r="B39" s="1890" t="str">
        <f t="shared" si="2"/>
        <v/>
      </c>
      <c r="C39" s="232"/>
      <c r="D39" s="223"/>
      <c r="E39" s="2488">
        <f t="shared" si="3"/>
        <v>0</v>
      </c>
      <c r="F39" s="223"/>
      <c r="G39" s="2491" t="str">
        <f t="shared" si="4"/>
        <v/>
      </c>
    </row>
    <row r="40" spans="1:7" x14ac:dyDescent="0.2">
      <c r="A40" s="1889" t="s">
        <v>53</v>
      </c>
      <c r="B40" s="1890" t="str">
        <f t="shared" si="2"/>
        <v/>
      </c>
      <c r="C40" s="232"/>
      <c r="D40" s="223"/>
      <c r="E40" s="2488">
        <f t="shared" si="3"/>
        <v>0</v>
      </c>
      <c r="F40" s="223"/>
      <c r="G40" s="2491" t="str">
        <f t="shared" si="4"/>
        <v/>
      </c>
    </row>
    <row r="41" spans="1:7" x14ac:dyDescent="0.2">
      <c r="A41" s="1889" t="s">
        <v>54</v>
      </c>
      <c r="B41" s="1890" t="str">
        <f t="shared" si="2"/>
        <v/>
      </c>
      <c r="C41" s="232"/>
      <c r="D41" s="223"/>
      <c r="E41" s="2488">
        <f t="shared" si="3"/>
        <v>0</v>
      </c>
      <c r="F41" s="223"/>
      <c r="G41" s="2491" t="str">
        <f t="shared" si="4"/>
        <v/>
      </c>
    </row>
    <row r="42" spans="1:7" x14ac:dyDescent="0.2">
      <c r="A42" s="1889" t="s">
        <v>55</v>
      </c>
      <c r="B42" s="1890" t="str">
        <f t="shared" si="2"/>
        <v/>
      </c>
      <c r="C42" s="232"/>
      <c r="D42" s="223"/>
      <c r="E42" s="2488">
        <f t="shared" si="3"/>
        <v>0</v>
      </c>
      <c r="F42" s="223"/>
      <c r="G42" s="2491" t="str">
        <f t="shared" si="4"/>
        <v/>
      </c>
    </row>
    <row r="43" spans="1:7" x14ac:dyDescent="0.2">
      <c r="A43" s="1889" t="s">
        <v>56</v>
      </c>
      <c r="B43" s="1890" t="str">
        <f t="shared" si="2"/>
        <v/>
      </c>
      <c r="C43" s="232"/>
      <c r="D43" s="223"/>
      <c r="E43" s="2488">
        <f t="shared" si="3"/>
        <v>0</v>
      </c>
      <c r="F43" s="223"/>
      <c r="G43" s="2491" t="str">
        <f t="shared" si="4"/>
        <v/>
      </c>
    </row>
    <row r="44" spans="1:7" x14ac:dyDescent="0.2">
      <c r="A44" s="1889" t="s">
        <v>57</v>
      </c>
      <c r="B44" s="1890" t="str">
        <f t="shared" si="2"/>
        <v/>
      </c>
      <c r="C44" s="232"/>
      <c r="D44" s="223"/>
      <c r="E44" s="2488">
        <f t="shared" si="3"/>
        <v>0</v>
      </c>
      <c r="F44" s="223"/>
      <c r="G44" s="2491" t="str">
        <f t="shared" si="4"/>
        <v/>
      </c>
    </row>
    <row r="45" spans="1:7" x14ac:dyDescent="0.2">
      <c r="A45" s="1889" t="s">
        <v>58</v>
      </c>
      <c r="B45" s="1890" t="str">
        <f t="shared" si="2"/>
        <v/>
      </c>
      <c r="C45" s="232"/>
      <c r="D45" s="223"/>
      <c r="E45" s="2488">
        <f t="shared" si="3"/>
        <v>0</v>
      </c>
      <c r="F45" s="223"/>
      <c r="G45" s="2491" t="str">
        <f t="shared" si="4"/>
        <v/>
      </c>
    </row>
    <row r="46" spans="1:7" x14ac:dyDescent="0.2">
      <c r="A46" s="1889" t="s">
        <v>59</v>
      </c>
      <c r="B46" s="1890" t="str">
        <f t="shared" si="2"/>
        <v/>
      </c>
      <c r="C46" s="232"/>
      <c r="D46" s="223"/>
      <c r="E46" s="2488">
        <f t="shared" si="3"/>
        <v>0</v>
      </c>
      <c r="F46" s="223"/>
      <c r="G46" s="2491" t="str">
        <f t="shared" si="4"/>
        <v/>
      </c>
    </row>
    <row r="47" spans="1:7" x14ac:dyDescent="0.2">
      <c r="A47" s="1889" t="s">
        <v>60</v>
      </c>
      <c r="B47" s="1890" t="str">
        <f t="shared" si="2"/>
        <v/>
      </c>
      <c r="C47" s="232"/>
      <c r="D47" s="223"/>
      <c r="E47" s="2488">
        <f t="shared" si="3"/>
        <v>0</v>
      </c>
      <c r="F47" s="223"/>
      <c r="G47" s="2491" t="str">
        <f t="shared" si="4"/>
        <v/>
      </c>
    </row>
    <row r="48" spans="1:7" x14ac:dyDescent="0.2">
      <c r="A48" s="1889" t="s">
        <v>61</v>
      </c>
      <c r="B48" s="1890" t="str">
        <f t="shared" si="2"/>
        <v/>
      </c>
      <c r="C48" s="232"/>
      <c r="D48" s="223"/>
      <c r="E48" s="2488">
        <f t="shared" si="3"/>
        <v>0</v>
      </c>
      <c r="F48" s="223"/>
      <c r="G48" s="2491" t="str">
        <f t="shared" si="4"/>
        <v/>
      </c>
    </row>
    <row r="49" spans="1:7" x14ac:dyDescent="0.2">
      <c r="A49" s="1889" t="s">
        <v>62</v>
      </c>
      <c r="B49" s="1890" t="str">
        <f t="shared" si="2"/>
        <v/>
      </c>
      <c r="C49" s="232"/>
      <c r="D49" s="223"/>
      <c r="E49" s="2488">
        <f t="shared" si="3"/>
        <v>0</v>
      </c>
      <c r="F49" s="223"/>
      <c r="G49" s="2491" t="str">
        <f t="shared" si="4"/>
        <v/>
      </c>
    </row>
    <row r="50" spans="1:7" x14ac:dyDescent="0.2">
      <c r="A50" s="1889" t="s">
        <v>63</v>
      </c>
      <c r="B50" s="1890" t="str">
        <f t="shared" si="2"/>
        <v/>
      </c>
      <c r="C50" s="232"/>
      <c r="D50" s="223"/>
      <c r="E50" s="2488">
        <f t="shared" si="3"/>
        <v>0</v>
      </c>
      <c r="F50" s="223"/>
      <c r="G50" s="2491" t="str">
        <f t="shared" si="4"/>
        <v/>
      </c>
    </row>
    <row r="51" spans="1:7" x14ac:dyDescent="0.2">
      <c r="A51" s="1889" t="s">
        <v>64</v>
      </c>
      <c r="B51" s="1890" t="str">
        <f t="shared" si="2"/>
        <v/>
      </c>
      <c r="C51" s="232"/>
      <c r="D51" s="223"/>
      <c r="E51" s="2488">
        <f t="shared" si="3"/>
        <v>0</v>
      </c>
      <c r="F51" s="223"/>
      <c r="G51" s="2491" t="str">
        <f t="shared" si="4"/>
        <v/>
      </c>
    </row>
    <row r="52" spans="1:7" x14ac:dyDescent="0.2">
      <c r="A52" s="1889" t="s">
        <v>65</v>
      </c>
      <c r="B52" s="1890" t="str">
        <f t="shared" si="2"/>
        <v/>
      </c>
      <c r="C52" s="232"/>
      <c r="D52" s="223"/>
      <c r="E52" s="2488">
        <f t="shared" si="3"/>
        <v>0</v>
      </c>
      <c r="F52" s="223"/>
      <c r="G52" s="2491" t="str">
        <f t="shared" si="4"/>
        <v/>
      </c>
    </row>
    <row r="53" spans="1:7" x14ac:dyDescent="0.2">
      <c r="A53" s="1889" t="s">
        <v>66</v>
      </c>
      <c r="B53" s="1890" t="str">
        <f t="shared" si="2"/>
        <v/>
      </c>
      <c r="C53" s="232"/>
      <c r="D53" s="223"/>
      <c r="E53" s="2488">
        <f t="shared" si="3"/>
        <v>0</v>
      </c>
      <c r="F53" s="223"/>
      <c r="G53" s="2491" t="str">
        <f t="shared" si="4"/>
        <v/>
      </c>
    </row>
    <row r="54" spans="1:7" x14ac:dyDescent="0.2">
      <c r="A54" s="1889" t="s">
        <v>67</v>
      </c>
      <c r="B54" s="1890" t="str">
        <f t="shared" si="2"/>
        <v/>
      </c>
      <c r="C54" s="232"/>
      <c r="D54" s="223"/>
      <c r="E54" s="2488">
        <f t="shared" si="3"/>
        <v>0</v>
      </c>
      <c r="F54" s="223"/>
      <c r="G54" s="2491" t="str">
        <f t="shared" si="4"/>
        <v/>
      </c>
    </row>
    <row r="55" spans="1:7" x14ac:dyDescent="0.2">
      <c r="A55" s="1889" t="s">
        <v>68</v>
      </c>
      <c r="B55" s="1890" t="str">
        <f t="shared" si="2"/>
        <v/>
      </c>
      <c r="C55" s="232"/>
      <c r="D55" s="223"/>
      <c r="E55" s="2488">
        <f t="shared" si="3"/>
        <v>0</v>
      </c>
      <c r="F55" s="223"/>
      <c r="G55" s="2491" t="str">
        <f t="shared" si="4"/>
        <v/>
      </c>
    </row>
    <row r="56" spans="1:7" x14ac:dyDescent="0.2">
      <c r="A56" s="1889" t="s">
        <v>69</v>
      </c>
      <c r="B56" s="1890" t="str">
        <f t="shared" si="2"/>
        <v/>
      </c>
      <c r="C56" s="232"/>
      <c r="D56" s="223"/>
      <c r="E56" s="2488">
        <f t="shared" si="3"/>
        <v>0</v>
      </c>
      <c r="F56" s="223"/>
      <c r="G56" s="2491" t="str">
        <f t="shared" si="4"/>
        <v/>
      </c>
    </row>
    <row r="57" spans="1:7" x14ac:dyDescent="0.2">
      <c r="A57" s="1889" t="s">
        <v>70</v>
      </c>
      <c r="B57" s="1890" t="str">
        <f t="shared" si="2"/>
        <v/>
      </c>
      <c r="C57" s="232"/>
      <c r="D57" s="223"/>
      <c r="E57" s="2488">
        <f t="shared" si="3"/>
        <v>0</v>
      </c>
      <c r="F57" s="223"/>
      <c r="G57" s="2491" t="str">
        <f t="shared" si="4"/>
        <v/>
      </c>
    </row>
    <row r="58" spans="1:7" x14ac:dyDescent="0.2">
      <c r="A58" s="1889" t="s">
        <v>71</v>
      </c>
      <c r="B58" s="1890" t="str">
        <f t="shared" si="2"/>
        <v/>
      </c>
      <c r="C58" s="232"/>
      <c r="D58" s="223"/>
      <c r="E58" s="2488">
        <f t="shared" si="3"/>
        <v>0</v>
      </c>
      <c r="F58" s="223"/>
      <c r="G58" s="2491" t="str">
        <f t="shared" si="4"/>
        <v/>
      </c>
    </row>
    <row r="59" spans="1:7" x14ac:dyDescent="0.2">
      <c r="A59" s="1889" t="s">
        <v>72</v>
      </c>
      <c r="B59" s="1890" t="str">
        <f t="shared" si="2"/>
        <v/>
      </c>
      <c r="C59" s="232"/>
      <c r="D59" s="223"/>
      <c r="E59" s="2488">
        <f t="shared" si="3"/>
        <v>0</v>
      </c>
      <c r="F59" s="223"/>
      <c r="G59" s="2491" t="str">
        <f t="shared" si="4"/>
        <v/>
      </c>
    </row>
    <row r="60" spans="1:7" x14ac:dyDescent="0.2">
      <c r="A60" s="1889" t="s">
        <v>73</v>
      </c>
      <c r="B60" s="1890" t="str">
        <f t="shared" si="2"/>
        <v/>
      </c>
      <c r="C60" s="232"/>
      <c r="D60" s="223"/>
      <c r="E60" s="2488">
        <f t="shared" si="3"/>
        <v>0</v>
      </c>
      <c r="F60" s="223"/>
      <c r="G60" s="2491" t="str">
        <f t="shared" si="4"/>
        <v/>
      </c>
    </row>
    <row r="61" spans="1:7" x14ac:dyDescent="0.2">
      <c r="A61" s="1889" t="s">
        <v>74</v>
      </c>
      <c r="B61" s="1890" t="str">
        <f t="shared" si="2"/>
        <v/>
      </c>
      <c r="C61" s="232"/>
      <c r="D61" s="223"/>
      <c r="E61" s="2488">
        <f t="shared" si="3"/>
        <v>0</v>
      </c>
      <c r="F61" s="223"/>
      <c r="G61" s="2491" t="str">
        <f t="shared" si="4"/>
        <v/>
      </c>
    </row>
    <row r="62" spans="1:7" x14ac:dyDescent="0.2">
      <c r="A62" s="1889" t="s">
        <v>75</v>
      </c>
      <c r="B62" s="1890" t="str">
        <f t="shared" si="2"/>
        <v/>
      </c>
      <c r="C62" s="232"/>
      <c r="D62" s="223"/>
      <c r="E62" s="2488">
        <f t="shared" si="3"/>
        <v>0</v>
      </c>
      <c r="F62" s="223"/>
      <c r="G62" s="2491" t="str">
        <f t="shared" si="4"/>
        <v/>
      </c>
    </row>
    <row r="63" spans="1:7" x14ac:dyDescent="0.2">
      <c r="A63" s="1889" t="s">
        <v>76</v>
      </c>
      <c r="B63" s="1890" t="str">
        <f t="shared" si="2"/>
        <v/>
      </c>
      <c r="C63" s="232"/>
      <c r="D63" s="223"/>
      <c r="E63" s="2488">
        <f t="shared" si="3"/>
        <v>0</v>
      </c>
      <c r="F63" s="223"/>
      <c r="G63" s="2491" t="str">
        <f t="shared" si="4"/>
        <v/>
      </c>
    </row>
    <row r="64" spans="1:7" x14ac:dyDescent="0.2">
      <c r="A64" s="1889" t="s">
        <v>77</v>
      </c>
      <c r="B64" s="1890" t="str">
        <f t="shared" si="2"/>
        <v/>
      </c>
      <c r="C64" s="232"/>
      <c r="D64" s="223"/>
      <c r="E64" s="2488">
        <f t="shared" si="3"/>
        <v>0</v>
      </c>
      <c r="F64" s="223"/>
      <c r="G64" s="2491" t="str">
        <f t="shared" si="4"/>
        <v/>
      </c>
    </row>
    <row r="65" spans="1:7" x14ac:dyDescent="0.2">
      <c r="A65" s="1889" t="s">
        <v>78</v>
      </c>
      <c r="B65" s="1890" t="str">
        <f t="shared" si="2"/>
        <v/>
      </c>
      <c r="C65" s="232"/>
      <c r="D65" s="223"/>
      <c r="E65" s="2488">
        <f t="shared" si="3"/>
        <v>0</v>
      </c>
      <c r="F65" s="223"/>
      <c r="G65" s="2491" t="str">
        <f t="shared" si="4"/>
        <v/>
      </c>
    </row>
    <row r="66" spans="1:7" x14ac:dyDescent="0.2">
      <c r="A66" s="1889" t="s">
        <v>79</v>
      </c>
      <c r="B66" s="1890" t="str">
        <f t="shared" si="2"/>
        <v/>
      </c>
      <c r="C66" s="232"/>
      <c r="D66" s="223"/>
      <c r="E66" s="2488">
        <f t="shared" si="3"/>
        <v>0</v>
      </c>
      <c r="F66" s="223"/>
      <c r="G66" s="2491" t="str">
        <f t="shared" si="4"/>
        <v/>
      </c>
    </row>
    <row r="67" spans="1:7" x14ac:dyDescent="0.2">
      <c r="A67" s="1889" t="s">
        <v>80</v>
      </c>
      <c r="B67" s="1890" t="str">
        <f t="shared" si="2"/>
        <v/>
      </c>
      <c r="C67" s="232"/>
      <c r="D67" s="223"/>
      <c r="E67" s="2488">
        <f t="shared" si="3"/>
        <v>0</v>
      </c>
      <c r="F67" s="223"/>
      <c r="G67" s="2491" t="str">
        <f t="shared" si="4"/>
        <v/>
      </c>
    </row>
    <row r="68" spans="1:7" x14ac:dyDescent="0.2">
      <c r="A68" s="1889" t="s">
        <v>81</v>
      </c>
      <c r="B68" s="1890" t="str">
        <f t="shared" si="2"/>
        <v/>
      </c>
      <c r="C68" s="232"/>
      <c r="D68" s="223"/>
      <c r="E68" s="2488">
        <f t="shared" si="3"/>
        <v>0</v>
      </c>
      <c r="F68" s="223"/>
      <c r="G68" s="2491" t="str">
        <f t="shared" si="4"/>
        <v/>
      </c>
    </row>
    <row r="69" spans="1:7" x14ac:dyDescent="0.2">
      <c r="A69" s="1889" t="s">
        <v>82</v>
      </c>
      <c r="B69" s="1890" t="str">
        <f t="shared" si="2"/>
        <v/>
      </c>
      <c r="C69" s="232"/>
      <c r="D69" s="223"/>
      <c r="E69" s="2488">
        <f t="shared" si="3"/>
        <v>0</v>
      </c>
      <c r="F69" s="223"/>
      <c r="G69" s="2491" t="str">
        <f t="shared" si="4"/>
        <v/>
      </c>
    </row>
    <row r="70" spans="1:7" x14ac:dyDescent="0.2">
      <c r="A70" s="1889" t="s">
        <v>83</v>
      </c>
      <c r="B70" s="1890" t="str">
        <f>MID(C70,4,70)</f>
        <v/>
      </c>
      <c r="C70" s="232"/>
      <c r="D70" s="223"/>
      <c r="E70" s="2488">
        <f t="shared" si="3"/>
        <v>0</v>
      </c>
      <c r="F70" s="223"/>
      <c r="G70" s="2491" t="str">
        <f t="shared" si="4"/>
        <v/>
      </c>
    </row>
    <row r="71" spans="1:7" x14ac:dyDescent="0.2">
      <c r="A71" s="1889" t="s">
        <v>84</v>
      </c>
      <c r="B71" s="1890" t="str">
        <f t="shared" ref="B71:B96" si="5">MID(C71,4,70)</f>
        <v/>
      </c>
      <c r="C71" s="232"/>
      <c r="D71" s="223"/>
      <c r="E71" s="2488">
        <f t="shared" si="3"/>
        <v>0</v>
      </c>
      <c r="F71" s="223"/>
      <c r="G71" s="2491" t="str">
        <f t="shared" si="4"/>
        <v/>
      </c>
    </row>
    <row r="72" spans="1:7" x14ac:dyDescent="0.2">
      <c r="A72" s="1889" t="s">
        <v>85</v>
      </c>
      <c r="B72" s="1890" t="str">
        <f t="shared" si="5"/>
        <v/>
      </c>
      <c r="C72" s="232"/>
      <c r="D72" s="223"/>
      <c r="E72" s="2488">
        <f t="shared" si="3"/>
        <v>0</v>
      </c>
      <c r="F72" s="223"/>
      <c r="G72" s="2491" t="str">
        <f t="shared" si="4"/>
        <v/>
      </c>
    </row>
    <row r="73" spans="1:7" x14ac:dyDescent="0.2">
      <c r="A73" s="1889" t="s">
        <v>86</v>
      </c>
      <c r="B73" s="1890" t="str">
        <f t="shared" si="5"/>
        <v/>
      </c>
      <c r="C73" s="232"/>
      <c r="D73" s="223"/>
      <c r="E73" s="2488">
        <f t="shared" si="3"/>
        <v>0</v>
      </c>
      <c r="F73" s="223"/>
      <c r="G73" s="2491" t="str">
        <f t="shared" si="4"/>
        <v/>
      </c>
    </row>
    <row r="74" spans="1:7" x14ac:dyDescent="0.2">
      <c r="A74" s="1889" t="s">
        <v>87</v>
      </c>
      <c r="B74" s="1890" t="str">
        <f t="shared" si="5"/>
        <v/>
      </c>
      <c r="C74" s="232"/>
      <c r="D74" s="223"/>
      <c r="E74" s="2488">
        <f t="shared" si="3"/>
        <v>0</v>
      </c>
      <c r="F74" s="223"/>
      <c r="G74" s="2491" t="str">
        <f t="shared" si="4"/>
        <v/>
      </c>
    </row>
    <row r="75" spans="1:7" x14ac:dyDescent="0.2">
      <c r="A75" s="1889" t="s">
        <v>88</v>
      </c>
      <c r="B75" s="1890" t="str">
        <f t="shared" si="5"/>
        <v/>
      </c>
      <c r="C75" s="232"/>
      <c r="D75" s="223"/>
      <c r="E75" s="2488">
        <f t="shared" si="3"/>
        <v>0</v>
      </c>
      <c r="F75" s="223"/>
      <c r="G75" s="2491" t="str">
        <f t="shared" si="4"/>
        <v/>
      </c>
    </row>
    <row r="76" spans="1:7" x14ac:dyDescent="0.2">
      <c r="A76" s="1889" t="s">
        <v>89</v>
      </c>
      <c r="B76" s="1890" t="str">
        <f t="shared" si="5"/>
        <v/>
      </c>
      <c r="C76" s="232"/>
      <c r="D76" s="223"/>
      <c r="E76" s="2488">
        <f t="shared" si="3"/>
        <v>0</v>
      </c>
      <c r="F76" s="223"/>
      <c r="G76" s="2491" t="str">
        <f t="shared" si="4"/>
        <v/>
      </c>
    </row>
    <row r="77" spans="1:7" x14ac:dyDescent="0.2">
      <c r="A77" s="1889" t="s">
        <v>90</v>
      </c>
      <c r="B77" s="1890" t="str">
        <f t="shared" si="5"/>
        <v/>
      </c>
      <c r="C77" s="232"/>
      <c r="D77" s="223"/>
      <c r="E77" s="2488">
        <f t="shared" si="3"/>
        <v>0</v>
      </c>
      <c r="F77" s="223"/>
      <c r="G77" s="2491" t="str">
        <f t="shared" si="4"/>
        <v/>
      </c>
    </row>
    <row r="78" spans="1:7" x14ac:dyDescent="0.2">
      <c r="A78" s="1889" t="s">
        <v>91</v>
      </c>
      <c r="B78" s="1890" t="str">
        <f t="shared" si="5"/>
        <v/>
      </c>
      <c r="C78" s="232"/>
      <c r="D78" s="223"/>
      <c r="E78" s="2488">
        <f t="shared" si="3"/>
        <v>0</v>
      </c>
      <c r="F78" s="223"/>
      <c r="G78" s="2491" t="str">
        <f t="shared" si="4"/>
        <v/>
      </c>
    </row>
    <row r="79" spans="1:7" x14ac:dyDescent="0.2">
      <c r="A79" s="1889" t="s">
        <v>92</v>
      </c>
      <c r="B79" s="1890" t="str">
        <f t="shared" si="5"/>
        <v/>
      </c>
      <c r="C79" s="232"/>
      <c r="D79" s="225"/>
      <c r="E79" s="2488">
        <f t="shared" si="3"/>
        <v>0</v>
      </c>
      <c r="F79" s="225"/>
      <c r="G79" s="2491" t="str">
        <f t="shared" si="4"/>
        <v/>
      </c>
    </row>
    <row r="80" spans="1:7" x14ac:dyDescent="0.2">
      <c r="A80" s="1889" t="s">
        <v>93</v>
      </c>
      <c r="B80" s="1890" t="str">
        <f t="shared" si="5"/>
        <v/>
      </c>
      <c r="C80" s="232"/>
      <c r="D80" s="225"/>
      <c r="E80" s="2488">
        <f t="shared" si="3"/>
        <v>0</v>
      </c>
      <c r="F80" s="225"/>
      <c r="G80" s="2491" t="str">
        <f t="shared" si="4"/>
        <v/>
      </c>
    </row>
    <row r="81" spans="1:7" x14ac:dyDescent="0.2">
      <c r="A81" s="1889" t="s">
        <v>94</v>
      </c>
      <c r="B81" s="1890" t="str">
        <f t="shared" si="5"/>
        <v/>
      </c>
      <c r="C81" s="232"/>
      <c r="D81" s="225"/>
      <c r="E81" s="2488">
        <f t="shared" si="3"/>
        <v>0</v>
      </c>
      <c r="F81" s="225"/>
      <c r="G81" s="2491" t="str">
        <f t="shared" si="4"/>
        <v/>
      </c>
    </row>
    <row r="82" spans="1:7" x14ac:dyDescent="0.2">
      <c r="A82" s="1889" t="s">
        <v>95</v>
      </c>
      <c r="B82" s="1890" t="str">
        <f t="shared" si="5"/>
        <v/>
      </c>
      <c r="C82" s="232"/>
      <c r="D82" s="225"/>
      <c r="E82" s="2488">
        <f t="shared" si="3"/>
        <v>0</v>
      </c>
      <c r="F82" s="225"/>
      <c r="G82" s="2491" t="str">
        <f t="shared" si="4"/>
        <v/>
      </c>
    </row>
    <row r="83" spans="1:7" x14ac:dyDescent="0.2">
      <c r="A83" s="1889" t="s">
        <v>96</v>
      </c>
      <c r="B83" s="1890" t="str">
        <f t="shared" si="5"/>
        <v/>
      </c>
      <c r="C83" s="232"/>
      <c r="D83" s="225"/>
      <c r="E83" s="2488">
        <f t="shared" si="3"/>
        <v>0</v>
      </c>
      <c r="F83" s="225"/>
      <c r="G83" s="2491" t="str">
        <f t="shared" si="4"/>
        <v/>
      </c>
    </row>
    <row r="84" spans="1:7" x14ac:dyDescent="0.2">
      <c r="A84" s="1889" t="s">
        <v>97</v>
      </c>
      <c r="B84" s="1890" t="str">
        <f t="shared" si="5"/>
        <v/>
      </c>
      <c r="C84" s="232"/>
      <c r="D84" s="225"/>
      <c r="E84" s="2488">
        <f t="shared" si="3"/>
        <v>0</v>
      </c>
      <c r="F84" s="225"/>
      <c r="G84" s="2491" t="str">
        <f t="shared" si="4"/>
        <v/>
      </c>
    </row>
    <row r="85" spans="1:7" x14ac:dyDescent="0.2">
      <c r="A85" s="1889" t="s">
        <v>98</v>
      </c>
      <c r="B85" s="1890" t="str">
        <f t="shared" si="5"/>
        <v/>
      </c>
      <c r="C85" s="232"/>
      <c r="D85" s="225"/>
      <c r="E85" s="2488">
        <f t="shared" si="3"/>
        <v>0</v>
      </c>
      <c r="F85" s="225"/>
      <c r="G85" s="2491" t="str">
        <f t="shared" si="4"/>
        <v/>
      </c>
    </row>
    <row r="86" spans="1:7" x14ac:dyDescent="0.2">
      <c r="A86" s="1889" t="s">
        <v>99</v>
      </c>
      <c r="B86" s="1890" t="str">
        <f t="shared" si="5"/>
        <v/>
      </c>
      <c r="C86" s="232"/>
      <c r="D86" s="225"/>
      <c r="E86" s="2488">
        <f t="shared" si="3"/>
        <v>0</v>
      </c>
      <c r="F86" s="225"/>
      <c r="G86" s="2491" t="str">
        <f t="shared" si="4"/>
        <v/>
      </c>
    </row>
    <row r="87" spans="1:7" x14ac:dyDescent="0.2">
      <c r="A87" s="1889" t="s">
        <v>100</v>
      </c>
      <c r="B87" s="1890" t="str">
        <f t="shared" si="5"/>
        <v/>
      </c>
      <c r="C87" s="232"/>
      <c r="D87" s="225"/>
      <c r="E87" s="2488">
        <f t="shared" si="3"/>
        <v>0</v>
      </c>
      <c r="F87" s="225"/>
      <c r="G87" s="2491" t="str">
        <f t="shared" si="4"/>
        <v/>
      </c>
    </row>
    <row r="88" spans="1:7" x14ac:dyDescent="0.2">
      <c r="A88" s="1889" t="s">
        <v>101</v>
      </c>
      <c r="B88" s="1890" t="str">
        <f t="shared" si="5"/>
        <v/>
      </c>
      <c r="C88" s="232"/>
      <c r="D88" s="225"/>
      <c r="E88" s="2488">
        <f t="shared" si="3"/>
        <v>0</v>
      </c>
      <c r="F88" s="225"/>
      <c r="G88" s="2491" t="str">
        <f t="shared" si="4"/>
        <v/>
      </c>
    </row>
    <row r="89" spans="1:7" x14ac:dyDescent="0.2">
      <c r="A89" s="1889" t="s">
        <v>102</v>
      </c>
      <c r="B89" s="1890" t="str">
        <f t="shared" si="5"/>
        <v/>
      </c>
      <c r="C89" s="232"/>
      <c r="D89" s="225"/>
      <c r="E89" s="2488">
        <f t="shared" si="3"/>
        <v>0</v>
      </c>
      <c r="F89" s="225"/>
      <c r="G89" s="2491" t="str">
        <f t="shared" si="4"/>
        <v/>
      </c>
    </row>
    <row r="90" spans="1:7" x14ac:dyDescent="0.2">
      <c r="A90" s="1889" t="s">
        <v>103</v>
      </c>
      <c r="B90" s="1890" t="str">
        <f t="shared" si="5"/>
        <v/>
      </c>
      <c r="C90" s="232"/>
      <c r="D90" s="225"/>
      <c r="E90" s="2488">
        <f t="shared" ref="E90:E96" si="6">D90/$D$97</f>
        <v>0</v>
      </c>
      <c r="F90" s="225"/>
      <c r="G90" s="2491" t="str">
        <f t="shared" si="4"/>
        <v/>
      </c>
    </row>
    <row r="91" spans="1:7" x14ac:dyDescent="0.2">
      <c r="A91" s="1889" t="s">
        <v>104</v>
      </c>
      <c r="B91" s="1890" t="str">
        <f t="shared" si="5"/>
        <v/>
      </c>
      <c r="C91" s="232"/>
      <c r="D91" s="225"/>
      <c r="E91" s="2488">
        <f t="shared" si="6"/>
        <v>0</v>
      </c>
      <c r="F91" s="225"/>
      <c r="G91" s="2491" t="str">
        <f t="shared" ref="G91:G96" si="7">IFERROR(F91/D91,"")</f>
        <v/>
      </c>
    </row>
    <row r="92" spans="1:7" x14ac:dyDescent="0.2">
      <c r="A92" s="1889" t="s">
        <v>105</v>
      </c>
      <c r="B92" s="1890" t="str">
        <f t="shared" si="5"/>
        <v/>
      </c>
      <c r="C92" s="232"/>
      <c r="D92" s="225"/>
      <c r="E92" s="2488">
        <f t="shared" si="6"/>
        <v>0</v>
      </c>
      <c r="F92" s="225"/>
      <c r="G92" s="2491" t="str">
        <f t="shared" si="7"/>
        <v/>
      </c>
    </row>
    <row r="93" spans="1:7" x14ac:dyDescent="0.2">
      <c r="A93" s="1889" t="s">
        <v>106</v>
      </c>
      <c r="B93" s="1890" t="str">
        <f t="shared" si="5"/>
        <v/>
      </c>
      <c r="C93" s="232"/>
      <c r="D93" s="225"/>
      <c r="E93" s="2488">
        <f t="shared" si="6"/>
        <v>0</v>
      </c>
      <c r="F93" s="225"/>
      <c r="G93" s="2491" t="str">
        <f t="shared" si="7"/>
        <v/>
      </c>
    </row>
    <row r="94" spans="1:7" x14ac:dyDescent="0.2">
      <c r="A94" s="1889" t="s">
        <v>107</v>
      </c>
      <c r="B94" s="1890" t="str">
        <f t="shared" si="5"/>
        <v/>
      </c>
      <c r="C94" s="232"/>
      <c r="D94" s="225"/>
      <c r="E94" s="2488">
        <f t="shared" si="6"/>
        <v>0</v>
      </c>
      <c r="F94" s="225"/>
      <c r="G94" s="2491" t="str">
        <f t="shared" si="7"/>
        <v/>
      </c>
    </row>
    <row r="95" spans="1:7" x14ac:dyDescent="0.2">
      <c r="A95" s="1889" t="s">
        <v>108</v>
      </c>
      <c r="B95" s="1890" t="str">
        <f t="shared" si="5"/>
        <v/>
      </c>
      <c r="C95" s="232"/>
      <c r="D95" s="225"/>
      <c r="E95" s="2488">
        <f t="shared" si="6"/>
        <v>0</v>
      </c>
      <c r="F95" s="225"/>
      <c r="G95" s="2491" t="str">
        <f t="shared" si="7"/>
        <v/>
      </c>
    </row>
    <row r="96" spans="1:7" ht="15" thickBot="1" x14ac:dyDescent="0.25">
      <c r="A96" s="1898" t="s">
        <v>109</v>
      </c>
      <c r="B96" s="1899" t="str">
        <f t="shared" si="5"/>
        <v/>
      </c>
      <c r="C96" s="233"/>
      <c r="D96" s="227"/>
      <c r="E96" s="2489">
        <f t="shared" si="6"/>
        <v>0</v>
      </c>
      <c r="F96" s="227"/>
      <c r="G96" s="2492" t="str">
        <f t="shared" si="7"/>
        <v/>
      </c>
    </row>
    <row r="97" spans="1:8" ht="16.5" thickTop="1" thickBot="1" x14ac:dyDescent="0.3">
      <c r="A97" s="2493" t="s">
        <v>35</v>
      </c>
      <c r="B97" s="2494"/>
      <c r="C97" s="2495">
        <f>SUM(C25:C96)</f>
        <v>263</v>
      </c>
      <c r="D97" s="2496">
        <f>SUM(D25:D96)</f>
        <v>2216807520</v>
      </c>
      <c r="E97" s="2497">
        <f>SUM(E25:E96)</f>
        <v>1</v>
      </c>
      <c r="F97" s="2496">
        <f>SUM(F25:F96)</f>
        <v>1003107453</v>
      </c>
      <c r="G97" s="2485">
        <f>IFERROR(F97/D97,"")</f>
        <v>0.45250092484348842</v>
      </c>
    </row>
    <row r="98" spans="1:8" ht="15.75" thickTop="1" thickBot="1" x14ac:dyDescent="0.25">
      <c r="A98" s="1903" t="s">
        <v>110</v>
      </c>
      <c r="B98" s="1903"/>
      <c r="C98" s="1903"/>
      <c r="D98" s="1903"/>
      <c r="E98" s="1903"/>
      <c r="F98" s="1903"/>
      <c r="G98" s="1903"/>
      <c r="H98" s="37"/>
    </row>
    <row r="99" spans="1:8" ht="15.75" thickTop="1" thickBot="1" x14ac:dyDescent="0.25">
      <c r="A99" s="29"/>
      <c r="B99" s="29"/>
      <c r="C99" s="29"/>
      <c r="D99" s="29"/>
      <c r="E99" s="29"/>
      <c r="F99" s="29"/>
      <c r="G99" s="29"/>
    </row>
    <row r="100" spans="1:8" ht="33" customHeight="1" thickTop="1" thickBot="1" x14ac:dyDescent="0.3">
      <c r="A100" s="1912" t="s">
        <v>448</v>
      </c>
      <c r="B100" s="1912"/>
      <c r="C100" s="1913"/>
      <c r="D100" s="29"/>
      <c r="E100" s="1926" t="s">
        <v>461</v>
      </c>
      <c r="F100" s="1927"/>
      <c r="G100" s="1905" t="s">
        <v>1843</v>
      </c>
      <c r="H100" s="1905" t="s">
        <v>113</v>
      </c>
    </row>
    <row r="101" spans="1:8" ht="40.5" customHeight="1" thickTop="1" x14ac:dyDescent="0.2">
      <c r="A101" s="41" t="s">
        <v>111</v>
      </c>
      <c r="B101" s="42" t="s">
        <v>114</v>
      </c>
      <c r="C101" s="43" t="s">
        <v>1842</v>
      </c>
      <c r="D101" s="29"/>
      <c r="E101" s="1928"/>
      <c r="F101" s="1929"/>
      <c r="G101" s="1906"/>
      <c r="H101" s="1906"/>
    </row>
    <row r="102" spans="1:8" ht="14.25" customHeight="1" x14ac:dyDescent="0.2">
      <c r="A102" s="240">
        <v>2022</v>
      </c>
      <c r="B102" s="225">
        <v>350000000</v>
      </c>
      <c r="C102" s="234">
        <v>248900000</v>
      </c>
      <c r="D102" s="29"/>
      <c r="E102" s="1907" t="s">
        <v>115</v>
      </c>
      <c r="F102" s="1908"/>
      <c r="G102" s="237">
        <v>15467000</v>
      </c>
      <c r="H102" s="237">
        <v>8000000</v>
      </c>
    </row>
    <row r="103" spans="1:8" x14ac:dyDescent="0.2">
      <c r="A103" s="240">
        <v>2023</v>
      </c>
      <c r="B103" s="225">
        <v>130000000</v>
      </c>
      <c r="C103" s="234">
        <v>10034000</v>
      </c>
      <c r="D103" s="29"/>
      <c r="E103" s="1907" t="s">
        <v>116</v>
      </c>
      <c r="F103" s="1908"/>
      <c r="G103" s="237">
        <v>4359000000</v>
      </c>
      <c r="H103" s="237">
        <v>4183473000</v>
      </c>
    </row>
    <row r="104" spans="1:8" x14ac:dyDescent="0.2">
      <c r="A104" s="241">
        <v>2024</v>
      </c>
      <c r="B104" s="227">
        <v>458906898</v>
      </c>
      <c r="C104" s="235">
        <v>0</v>
      </c>
      <c r="D104" s="29"/>
      <c r="E104" s="1907" t="s">
        <v>1848</v>
      </c>
      <c r="F104" s="1908"/>
      <c r="G104" s="237">
        <v>158899898</v>
      </c>
      <c r="H104" s="237">
        <v>14656565</v>
      </c>
    </row>
    <row r="105" spans="1:8" ht="15" thickBot="1" x14ac:dyDescent="0.25">
      <c r="A105" s="242" t="s">
        <v>112</v>
      </c>
      <c r="B105" s="229"/>
      <c r="C105" s="236"/>
      <c r="D105" s="29"/>
      <c r="E105" s="1907" t="s">
        <v>1849</v>
      </c>
      <c r="F105" s="1908"/>
      <c r="G105" s="237">
        <v>5565656565</v>
      </c>
      <c r="H105" s="237">
        <v>16565656</v>
      </c>
    </row>
    <row r="106" spans="1:8" ht="16.5" thickTop="1" thickBot="1" x14ac:dyDescent="0.3">
      <c r="A106" s="2498" t="s">
        <v>35</v>
      </c>
      <c r="B106" s="2499">
        <f>SUM(B102:B105)</f>
        <v>938906898</v>
      </c>
      <c r="C106" s="2499">
        <f>SUM(C102:C105)</f>
        <v>258934000</v>
      </c>
      <c r="D106" s="29"/>
      <c r="E106" s="1907" t="s">
        <v>446</v>
      </c>
      <c r="F106" s="1908"/>
      <c r="G106" s="237">
        <v>0</v>
      </c>
      <c r="H106" s="237">
        <v>0</v>
      </c>
    </row>
    <row r="107" spans="1:8" ht="15.75" thickTop="1" thickBot="1" x14ac:dyDescent="0.25">
      <c r="A107" s="29"/>
      <c r="B107" s="29"/>
      <c r="C107" s="29"/>
      <c r="D107" s="29"/>
      <c r="E107" s="1907" t="s">
        <v>441</v>
      </c>
      <c r="F107" s="1908"/>
      <c r="G107" s="237">
        <v>0</v>
      </c>
      <c r="H107" s="237">
        <v>0</v>
      </c>
    </row>
    <row r="108" spans="1:8" ht="28.5" customHeight="1" thickTop="1" thickBot="1" x14ac:dyDescent="0.25">
      <c r="A108" s="1909" t="s">
        <v>447</v>
      </c>
      <c r="B108" s="1910"/>
      <c r="C108" s="1911"/>
      <c r="D108" s="29"/>
      <c r="E108" s="1907" t="s">
        <v>442</v>
      </c>
      <c r="F108" s="1908"/>
      <c r="G108" s="237">
        <v>0</v>
      </c>
      <c r="H108" s="237">
        <v>0</v>
      </c>
    </row>
    <row r="109" spans="1:8" ht="39" customHeight="1" thickTop="1" x14ac:dyDescent="0.2">
      <c r="A109" s="44" t="s">
        <v>111</v>
      </c>
      <c r="B109" s="45" t="s">
        <v>9</v>
      </c>
      <c r="C109" s="45" t="s">
        <v>1844</v>
      </c>
      <c r="D109" s="29"/>
      <c r="E109" s="1914" t="s">
        <v>443</v>
      </c>
      <c r="F109" s="1915"/>
      <c r="G109" s="237">
        <v>5000000000</v>
      </c>
      <c r="H109" s="237">
        <v>3875000000</v>
      </c>
    </row>
    <row r="110" spans="1:8" ht="16.5" customHeight="1" x14ac:dyDescent="0.2">
      <c r="A110" s="240">
        <v>2020</v>
      </c>
      <c r="B110" s="225">
        <v>598959565</v>
      </c>
      <c r="C110" s="239">
        <v>576000000</v>
      </c>
      <c r="D110" s="1239"/>
      <c r="E110" s="1907" t="s">
        <v>444</v>
      </c>
      <c r="F110" s="1908"/>
      <c r="G110" s="237">
        <v>0</v>
      </c>
      <c r="H110" s="238">
        <v>0</v>
      </c>
    </row>
    <row r="111" spans="1:8" ht="15.75" thickBot="1" x14ac:dyDescent="0.25">
      <c r="A111" s="240">
        <v>2021</v>
      </c>
      <c r="B111" s="225">
        <v>1655656565</v>
      </c>
      <c r="C111" s="239">
        <v>1516689898</v>
      </c>
      <c r="D111" s="29"/>
      <c r="E111" s="2500" t="s">
        <v>445</v>
      </c>
      <c r="F111" s="2501"/>
      <c r="G111" s="2502">
        <f>SUM(G102:G110)</f>
        <v>15099023463</v>
      </c>
      <c r="H111" s="2503">
        <f>SUM(H102:H110)</f>
        <v>8097695221</v>
      </c>
    </row>
    <row r="112" spans="1:8" ht="15" thickTop="1" x14ac:dyDescent="0.2">
      <c r="A112" s="240">
        <v>2022</v>
      </c>
      <c r="B112" s="225">
        <v>16465656</v>
      </c>
      <c r="C112" s="239">
        <v>16465656</v>
      </c>
      <c r="D112" s="29"/>
      <c r="E112" s="29"/>
      <c r="F112" s="29"/>
      <c r="G112" s="29"/>
    </row>
    <row r="113" spans="1:7" ht="15" thickBot="1" x14ac:dyDescent="0.25">
      <c r="A113" s="241">
        <v>2023</v>
      </c>
      <c r="B113" s="227">
        <v>565656656</v>
      </c>
      <c r="C113" s="239">
        <v>565454540</v>
      </c>
      <c r="D113" s="1245"/>
      <c r="E113" s="29"/>
      <c r="F113" s="29"/>
      <c r="G113" s="29"/>
    </row>
    <row r="114" spans="1:7" ht="16.5" thickTop="1" thickBot="1" x14ac:dyDescent="0.25">
      <c r="A114" s="46" t="s">
        <v>445</v>
      </c>
      <c r="B114" s="47">
        <f>SUM(B110:B113)</f>
        <v>2836738442</v>
      </c>
      <c r="C114" s="48">
        <f>SUM(C110:C113)</f>
        <v>2674610094</v>
      </c>
      <c r="D114" s="29"/>
      <c r="E114" s="29"/>
      <c r="F114" s="29"/>
      <c r="G114" s="29"/>
    </row>
    <row r="115" spans="1:7" ht="27.75" customHeight="1" thickTop="1" thickBot="1" x14ac:dyDescent="0.25">
      <c r="A115" s="29"/>
      <c r="B115" s="29"/>
      <c r="C115" s="29"/>
      <c r="D115" s="29"/>
      <c r="E115" s="29"/>
      <c r="F115" s="29"/>
      <c r="G115" s="29"/>
    </row>
    <row r="116" spans="1:7" ht="35.25" customHeight="1" thickTop="1" x14ac:dyDescent="0.2">
      <c r="A116" s="2504" t="s">
        <v>452</v>
      </c>
      <c r="B116" s="2505"/>
      <c r="C116" s="2506" t="s">
        <v>453</v>
      </c>
      <c r="D116" s="2507" t="s">
        <v>1842</v>
      </c>
      <c r="E116" s="2507" t="s">
        <v>1845</v>
      </c>
      <c r="F116" s="29"/>
      <c r="G116" s="29"/>
    </row>
    <row r="117" spans="1:7" ht="24.75" customHeight="1" x14ac:dyDescent="0.2">
      <c r="A117" s="2508" t="s">
        <v>454</v>
      </c>
      <c r="B117" s="2509"/>
      <c r="C117" s="2510">
        <f>D21</f>
        <v>2172366520</v>
      </c>
      <c r="D117" s="2511">
        <f>F21</f>
        <v>924307453</v>
      </c>
      <c r="E117" s="2512">
        <f>+D117/C117</f>
        <v>0.42548411812201931</v>
      </c>
      <c r="F117" s="29"/>
      <c r="G117" s="29"/>
    </row>
    <row r="118" spans="1:7" ht="38.25" customHeight="1" x14ac:dyDescent="0.2">
      <c r="A118" s="2508" t="s">
        <v>449</v>
      </c>
      <c r="B118" s="2509"/>
      <c r="C118" s="2513">
        <f>B106</f>
        <v>938906898</v>
      </c>
      <c r="D118" s="2514">
        <f>C106</f>
        <v>258934000</v>
      </c>
      <c r="E118" s="2512">
        <f>+D118/C118</f>
        <v>0.27578240244220681</v>
      </c>
      <c r="F118" s="29"/>
      <c r="G118" s="29"/>
    </row>
    <row r="119" spans="1:7" ht="43.5" customHeight="1" x14ac:dyDescent="0.2">
      <c r="A119" s="2508" t="s">
        <v>455</v>
      </c>
      <c r="B119" s="2509"/>
      <c r="C119" s="2515">
        <f>+G111</f>
        <v>15099023463</v>
      </c>
      <c r="D119" s="2514">
        <f>H111</f>
        <v>8097695221</v>
      </c>
      <c r="E119" s="2516">
        <f>+D119/C119</f>
        <v>0.53630589030100639</v>
      </c>
      <c r="F119" s="29"/>
      <c r="G119" s="29"/>
    </row>
    <row r="120" spans="1:7" ht="33.75" customHeight="1" thickBot="1" x14ac:dyDescent="0.25">
      <c r="A120" s="2517" t="s">
        <v>456</v>
      </c>
      <c r="B120" s="2518"/>
      <c r="C120" s="2519">
        <f>B114</f>
        <v>2836738442</v>
      </c>
      <c r="D120" s="2520">
        <f>C114</f>
        <v>2674610094</v>
      </c>
      <c r="E120" s="2521">
        <f>+D120/C120</f>
        <v>0.94284691686777655</v>
      </c>
      <c r="F120" s="29"/>
      <c r="G120" s="29"/>
    </row>
    <row r="121" spans="1:7" ht="20.100000000000001" customHeight="1" thickTop="1" thickBot="1" x14ac:dyDescent="0.25">
      <c r="A121" s="2522" t="s">
        <v>35</v>
      </c>
      <c r="B121" s="2523"/>
      <c r="C121" s="2524">
        <f>SUM(C117:C120)</f>
        <v>21047035323</v>
      </c>
      <c r="D121" s="2525">
        <f>SUM(D117:D120)</f>
        <v>11955546768</v>
      </c>
      <c r="E121" s="2526">
        <f>+D121/C121</f>
        <v>0.56803946895718338</v>
      </c>
      <c r="F121" s="29"/>
      <c r="G121" s="29"/>
    </row>
    <row r="122" spans="1:7" ht="15" thickTop="1" x14ac:dyDescent="0.2">
      <c r="A122" s="29"/>
      <c r="B122" s="29"/>
      <c r="C122" s="29"/>
      <c r="D122" s="29"/>
      <c r="E122" s="29"/>
      <c r="F122" s="29"/>
      <c r="G122" s="29"/>
    </row>
    <row r="123" spans="1:7" ht="15" thickBot="1" x14ac:dyDescent="0.25">
      <c r="A123" s="29"/>
      <c r="B123" s="29"/>
      <c r="C123" s="29"/>
      <c r="D123" s="29"/>
      <c r="E123" s="29"/>
      <c r="F123" s="29"/>
      <c r="G123" s="29"/>
    </row>
    <row r="124" spans="1:7" s="29" customFormat="1" ht="15" x14ac:dyDescent="0.25">
      <c r="A124" s="2527" t="s">
        <v>464</v>
      </c>
      <c r="B124" s="2528" t="s">
        <v>465</v>
      </c>
      <c r="C124" s="2529"/>
      <c r="D124" s="2530" t="s">
        <v>467</v>
      </c>
      <c r="E124" s="2531" t="s">
        <v>466</v>
      </c>
    </row>
    <row r="125" spans="1:7" s="29" customFormat="1" ht="24" customHeight="1" x14ac:dyDescent="0.2">
      <c r="A125" s="2532"/>
      <c r="B125" s="1920"/>
      <c r="C125" s="1921"/>
      <c r="D125" s="1287"/>
      <c r="E125" s="250"/>
    </row>
    <row r="126" spans="1:7" s="29" customFormat="1" ht="24" customHeight="1" x14ac:dyDescent="0.2">
      <c r="A126" s="2532"/>
      <c r="B126" s="1920"/>
      <c r="C126" s="1921"/>
      <c r="D126" s="1287"/>
      <c r="E126" s="250"/>
    </row>
    <row r="127" spans="1:7" s="29" customFormat="1" ht="24" customHeight="1" x14ac:dyDescent="0.2">
      <c r="A127" s="2532"/>
      <c r="B127" s="1920"/>
      <c r="C127" s="1921"/>
      <c r="D127" s="1287"/>
      <c r="E127" s="250"/>
    </row>
    <row r="128" spans="1:7" s="29" customFormat="1" ht="24" customHeight="1" x14ac:dyDescent="0.2">
      <c r="A128" s="2532"/>
      <c r="B128" s="1920"/>
      <c r="C128" s="1921"/>
      <c r="D128" s="1287"/>
      <c r="E128" s="250"/>
    </row>
    <row r="129" spans="1:7" s="29" customFormat="1" ht="24" customHeight="1" x14ac:dyDescent="0.2">
      <c r="A129" s="2532"/>
      <c r="B129" s="1920"/>
      <c r="C129" s="1921"/>
      <c r="D129" s="1287"/>
      <c r="E129" s="250"/>
    </row>
    <row r="130" spans="1:7" s="29" customFormat="1" ht="24" customHeight="1" x14ac:dyDescent="0.2">
      <c r="A130" s="2532"/>
      <c r="B130" s="1922"/>
      <c r="C130" s="1923"/>
      <c r="D130" s="1287"/>
      <c r="E130" s="250"/>
    </row>
    <row r="131" spans="1:7" s="29" customFormat="1" ht="24" customHeight="1" x14ac:dyDescent="0.2">
      <c r="A131" s="2532"/>
      <c r="B131" s="1922"/>
      <c r="C131" s="1923"/>
      <c r="D131" s="1287"/>
      <c r="E131" s="250"/>
    </row>
    <row r="132" spans="1:7" ht="24" customHeight="1" thickBot="1" x14ac:dyDescent="0.25">
      <c r="A132" s="33"/>
      <c r="B132" s="1924"/>
      <c r="C132" s="1925"/>
      <c r="D132" s="1286"/>
      <c r="E132" s="251"/>
      <c r="F132" s="29"/>
      <c r="G132" s="29"/>
    </row>
    <row r="133" spans="1:7" ht="15" thickBot="1" x14ac:dyDescent="0.25">
      <c r="A133" s="33"/>
      <c r="B133" s="33"/>
      <c r="C133" s="33"/>
      <c r="D133" s="51"/>
      <c r="E133" s="33"/>
      <c r="F133" s="29"/>
      <c r="G133" s="29"/>
    </row>
    <row r="134" spans="1:7" ht="18.75" customHeight="1" x14ac:dyDescent="0.25">
      <c r="A134" s="2527" t="s">
        <v>117</v>
      </c>
      <c r="B134" s="2533" t="s">
        <v>465</v>
      </c>
      <c r="C134" s="2534"/>
      <c r="D134" s="2535" t="s">
        <v>466</v>
      </c>
      <c r="E134" s="2536"/>
      <c r="F134" s="29"/>
      <c r="G134" s="29"/>
    </row>
    <row r="135" spans="1:7" ht="27.75" customHeight="1" thickBot="1" x14ac:dyDescent="0.25">
      <c r="A135" s="33"/>
      <c r="B135" s="1916"/>
      <c r="C135" s="1917"/>
      <c r="D135" s="1918"/>
      <c r="E135" s="1919"/>
      <c r="F135" s="29"/>
      <c r="G135" s="29"/>
    </row>
    <row r="136" spans="1:7" x14ac:dyDescent="0.2">
      <c r="A136" s="29"/>
      <c r="B136" s="29"/>
      <c r="C136" s="29"/>
      <c r="D136" s="29"/>
      <c r="E136" s="29"/>
      <c r="F136" s="29"/>
      <c r="G136" s="29"/>
    </row>
    <row r="137" spans="1:7" x14ac:dyDescent="0.2">
      <c r="A137" s="29"/>
      <c r="B137" s="29"/>
      <c r="C137" s="29"/>
      <c r="D137" s="29"/>
      <c r="E137" s="29"/>
      <c r="F137" s="29"/>
      <c r="G137" s="29"/>
    </row>
    <row r="138" spans="1:7" x14ac:dyDescent="0.2">
      <c r="A138" s="29"/>
      <c r="B138" s="29"/>
      <c r="C138" s="29"/>
      <c r="D138" s="29"/>
      <c r="E138" s="29"/>
      <c r="F138" s="29"/>
      <c r="G138" s="29"/>
    </row>
    <row r="139" spans="1:7" x14ac:dyDescent="0.2">
      <c r="A139" s="29"/>
      <c r="B139" s="29"/>
      <c r="C139" s="29"/>
      <c r="D139" s="29"/>
      <c r="E139" s="29"/>
      <c r="F139" s="29"/>
      <c r="G139" s="29"/>
    </row>
    <row r="140" spans="1:7" x14ac:dyDescent="0.2">
      <c r="A140" s="29"/>
      <c r="B140" s="29"/>
      <c r="C140" s="29"/>
      <c r="D140" s="29"/>
      <c r="E140" s="29"/>
      <c r="F140" s="29"/>
      <c r="G140" s="29"/>
    </row>
    <row r="141" spans="1:7" x14ac:dyDescent="0.2">
      <c r="A141" s="29"/>
      <c r="B141" s="29"/>
      <c r="C141" s="29"/>
      <c r="D141" s="29"/>
      <c r="E141" s="29"/>
      <c r="F141" s="29"/>
      <c r="G141" s="29"/>
    </row>
    <row r="142" spans="1:7" x14ac:dyDescent="0.2">
      <c r="A142" s="29"/>
      <c r="B142" s="29"/>
      <c r="C142" s="29"/>
      <c r="D142" s="29"/>
      <c r="E142" s="29"/>
      <c r="F142" s="29"/>
      <c r="G142" s="29"/>
    </row>
    <row r="143" spans="1:7" x14ac:dyDescent="0.2">
      <c r="A143" s="29"/>
      <c r="B143" s="29"/>
      <c r="C143" s="29"/>
      <c r="D143" s="29"/>
      <c r="E143" s="29"/>
      <c r="F143" s="29"/>
      <c r="G143" s="29"/>
    </row>
    <row r="144" spans="1:7" x14ac:dyDescent="0.2">
      <c r="A144" s="29"/>
      <c r="B144" s="29"/>
      <c r="C144" s="29"/>
      <c r="D144" s="29"/>
      <c r="E144" s="29"/>
      <c r="F144" s="29"/>
      <c r="G144" s="29"/>
    </row>
    <row r="145" spans="1:7" x14ac:dyDescent="0.2">
      <c r="A145" s="29"/>
      <c r="B145" s="29"/>
      <c r="C145" s="29"/>
      <c r="D145" s="29"/>
      <c r="E145" s="29"/>
      <c r="F145" s="29"/>
      <c r="G145" s="29"/>
    </row>
    <row r="146" spans="1:7" x14ac:dyDescent="0.2">
      <c r="A146" s="29"/>
      <c r="B146" s="29"/>
      <c r="C146" s="29"/>
      <c r="D146" s="29"/>
      <c r="E146" s="29"/>
      <c r="F146" s="29"/>
      <c r="G146" s="29"/>
    </row>
    <row r="147" spans="1:7" x14ac:dyDescent="0.2">
      <c r="A147" s="29"/>
      <c r="B147" s="29"/>
      <c r="C147" s="29"/>
      <c r="D147" s="29"/>
      <c r="E147" s="29"/>
      <c r="F147" s="29"/>
      <c r="G147" s="29"/>
    </row>
    <row r="148" spans="1:7" x14ac:dyDescent="0.2">
      <c r="A148" s="29"/>
      <c r="B148" s="29"/>
      <c r="C148" s="29"/>
      <c r="D148" s="29"/>
      <c r="E148" s="29"/>
      <c r="F148" s="29"/>
      <c r="G148" s="29"/>
    </row>
    <row r="149" spans="1:7" x14ac:dyDescent="0.2">
      <c r="A149" s="29"/>
      <c r="B149" s="29"/>
      <c r="C149" s="29"/>
      <c r="D149" s="29"/>
      <c r="E149" s="29"/>
      <c r="F149" s="29"/>
      <c r="G149" s="29"/>
    </row>
    <row r="150" spans="1:7" x14ac:dyDescent="0.2">
      <c r="A150" s="29"/>
      <c r="B150" s="29"/>
      <c r="C150" s="29"/>
      <c r="D150" s="29"/>
      <c r="E150" s="29"/>
      <c r="F150" s="29"/>
      <c r="G150" s="29"/>
    </row>
    <row r="151" spans="1:7" x14ac:dyDescent="0.2">
      <c r="A151" s="29"/>
      <c r="B151" s="29"/>
      <c r="C151" s="29"/>
      <c r="D151" s="29"/>
      <c r="E151" s="29"/>
      <c r="F151" s="29"/>
      <c r="G151" s="29"/>
    </row>
    <row r="152" spans="1:7" x14ac:dyDescent="0.2">
      <c r="A152" s="29"/>
      <c r="B152" s="29"/>
      <c r="C152" s="29"/>
      <c r="D152" s="29"/>
      <c r="E152" s="29"/>
      <c r="F152" s="29"/>
      <c r="G152" s="29"/>
    </row>
    <row r="153" spans="1:7" x14ac:dyDescent="0.2">
      <c r="A153" s="29"/>
      <c r="B153" s="29"/>
      <c r="C153" s="29"/>
      <c r="D153" s="29"/>
      <c r="E153" s="29"/>
      <c r="F153" s="29"/>
      <c r="G153" s="29"/>
    </row>
    <row r="154" spans="1:7" x14ac:dyDescent="0.2">
      <c r="A154" s="29"/>
      <c r="B154" s="29"/>
      <c r="C154" s="29"/>
      <c r="D154" s="29"/>
      <c r="E154" s="29"/>
      <c r="F154" s="29"/>
      <c r="G154" s="29"/>
    </row>
    <row r="155" spans="1:7" x14ac:dyDescent="0.2">
      <c r="A155" s="29"/>
      <c r="B155" s="29"/>
      <c r="C155" s="29"/>
      <c r="D155" s="29"/>
      <c r="E155" s="29"/>
      <c r="F155" s="29"/>
      <c r="G155" s="29"/>
    </row>
    <row r="156" spans="1:7" x14ac:dyDescent="0.2">
      <c r="A156" s="29"/>
      <c r="B156" s="29"/>
      <c r="C156" s="29"/>
      <c r="D156" s="29"/>
      <c r="E156" s="29"/>
      <c r="F156" s="29"/>
      <c r="G156" s="29"/>
    </row>
    <row r="157" spans="1:7" x14ac:dyDescent="0.2">
      <c r="A157" s="29"/>
      <c r="B157" s="29"/>
      <c r="C157" s="29"/>
      <c r="D157" s="29"/>
      <c r="E157" s="29"/>
      <c r="F157" s="29"/>
      <c r="G157" s="29"/>
    </row>
    <row r="158" spans="1:7" x14ac:dyDescent="0.2">
      <c r="A158" s="29"/>
      <c r="B158" s="29"/>
      <c r="C158" s="29"/>
      <c r="D158" s="29"/>
      <c r="E158" s="29"/>
      <c r="F158" s="29"/>
      <c r="G158" s="29"/>
    </row>
    <row r="159" spans="1:7" x14ac:dyDescent="0.2">
      <c r="A159" s="29"/>
      <c r="B159" s="29"/>
      <c r="C159" s="29"/>
      <c r="D159" s="29"/>
      <c r="E159" s="29"/>
      <c r="F159" s="29"/>
      <c r="G159" s="29"/>
    </row>
    <row r="160" spans="1:7" x14ac:dyDescent="0.2">
      <c r="A160" s="29"/>
      <c r="B160" s="29"/>
      <c r="C160" s="29"/>
      <c r="D160" s="29"/>
      <c r="E160" s="29"/>
      <c r="F160" s="29"/>
      <c r="G160" s="29"/>
    </row>
    <row r="161" spans="1:7" x14ac:dyDescent="0.2">
      <c r="A161" s="29"/>
      <c r="B161" s="29"/>
      <c r="C161" s="29"/>
      <c r="D161" s="29"/>
      <c r="E161" s="29"/>
      <c r="F161" s="29"/>
      <c r="G161" s="29"/>
    </row>
    <row r="162" spans="1:7" x14ac:dyDescent="0.2">
      <c r="A162" s="29"/>
      <c r="B162" s="29"/>
      <c r="C162" s="29"/>
      <c r="D162" s="29"/>
      <c r="E162" s="29"/>
      <c r="F162" s="29"/>
      <c r="G162" s="29"/>
    </row>
    <row r="163" spans="1:7" x14ac:dyDescent="0.2">
      <c r="A163" s="29"/>
      <c r="B163" s="29"/>
      <c r="C163" s="29"/>
      <c r="D163" s="29"/>
      <c r="E163" s="29"/>
      <c r="F163" s="29"/>
      <c r="G163" s="29"/>
    </row>
    <row r="164" spans="1:7" x14ac:dyDescent="0.2">
      <c r="A164" s="29"/>
      <c r="B164" s="29"/>
      <c r="C164" s="29"/>
      <c r="D164" s="29"/>
      <c r="E164" s="29"/>
      <c r="F164" s="29"/>
      <c r="G164" s="29"/>
    </row>
    <row r="165" spans="1:7" x14ac:dyDescent="0.2">
      <c r="A165" s="29"/>
      <c r="B165" s="29"/>
      <c r="C165" s="29"/>
      <c r="D165" s="29"/>
      <c r="E165" s="29"/>
      <c r="F165" s="29"/>
      <c r="G165" s="29"/>
    </row>
    <row r="166" spans="1:7" x14ac:dyDescent="0.2">
      <c r="A166" s="29"/>
      <c r="B166" s="29"/>
      <c r="C166" s="29"/>
      <c r="D166" s="29"/>
      <c r="E166" s="29"/>
      <c r="F166" s="29"/>
      <c r="G166" s="29"/>
    </row>
    <row r="167" spans="1:7" x14ac:dyDescent="0.2">
      <c r="A167" s="29"/>
      <c r="B167" s="29"/>
      <c r="C167" s="29"/>
      <c r="D167" s="29"/>
      <c r="E167" s="29"/>
      <c r="F167" s="29"/>
      <c r="G167" s="29"/>
    </row>
    <row r="168" spans="1:7" x14ac:dyDescent="0.2">
      <c r="A168" s="29"/>
      <c r="B168" s="29"/>
      <c r="C168" s="29"/>
      <c r="D168" s="29"/>
      <c r="E168" s="29"/>
      <c r="F168" s="29"/>
      <c r="G168" s="29"/>
    </row>
    <row r="169" spans="1:7" x14ac:dyDescent="0.2">
      <c r="A169" s="29"/>
      <c r="B169" s="29"/>
      <c r="C169" s="29"/>
      <c r="D169" s="29"/>
      <c r="E169" s="29"/>
      <c r="F169" s="29"/>
      <c r="G169" s="29"/>
    </row>
    <row r="170" spans="1:7" x14ac:dyDescent="0.2">
      <c r="A170" s="29"/>
      <c r="B170" s="29"/>
      <c r="C170" s="29"/>
      <c r="D170" s="29"/>
      <c r="E170" s="29"/>
      <c r="F170" s="29"/>
      <c r="G170" s="29"/>
    </row>
    <row r="171" spans="1:7" x14ac:dyDescent="0.2">
      <c r="A171" s="29"/>
      <c r="B171" s="29"/>
      <c r="C171" s="29"/>
      <c r="D171" s="29"/>
      <c r="E171" s="29"/>
      <c r="F171" s="29"/>
      <c r="G171" s="29"/>
    </row>
    <row r="172" spans="1:7" x14ac:dyDescent="0.2">
      <c r="A172" s="29"/>
      <c r="B172" s="29"/>
      <c r="C172" s="29"/>
      <c r="D172" s="29"/>
      <c r="E172" s="29"/>
      <c r="F172" s="29"/>
      <c r="G172" s="29"/>
    </row>
    <row r="173" spans="1:7" x14ac:dyDescent="0.2">
      <c r="A173" s="29"/>
      <c r="B173" s="29"/>
      <c r="C173" s="29"/>
      <c r="D173" s="29"/>
      <c r="E173" s="29"/>
      <c r="F173" s="29"/>
      <c r="G173" s="29"/>
    </row>
    <row r="174" spans="1:7" x14ac:dyDescent="0.2">
      <c r="A174" s="29"/>
      <c r="B174" s="29"/>
      <c r="C174" s="29"/>
      <c r="D174" s="29"/>
      <c r="E174" s="29"/>
      <c r="F174" s="29"/>
      <c r="G174" s="29"/>
    </row>
    <row r="175" spans="1:7" x14ac:dyDescent="0.2">
      <c r="A175" s="29"/>
      <c r="B175" s="29"/>
      <c r="C175" s="29"/>
      <c r="D175" s="29"/>
      <c r="E175" s="29"/>
      <c r="F175" s="29"/>
      <c r="G175" s="29"/>
    </row>
    <row r="176" spans="1:7" x14ac:dyDescent="0.2">
      <c r="A176" s="29"/>
      <c r="B176" s="29"/>
      <c r="C176" s="29"/>
      <c r="D176" s="29"/>
      <c r="E176" s="29"/>
      <c r="F176" s="29"/>
      <c r="G176" s="29"/>
    </row>
    <row r="177" spans="1:7" x14ac:dyDescent="0.2">
      <c r="A177" s="29"/>
      <c r="B177" s="29"/>
      <c r="C177" s="29"/>
      <c r="D177" s="29"/>
      <c r="E177" s="29"/>
      <c r="F177" s="29"/>
      <c r="G177" s="29"/>
    </row>
    <row r="178" spans="1:7" x14ac:dyDescent="0.2">
      <c r="A178" s="29"/>
      <c r="B178" s="29"/>
      <c r="C178" s="29"/>
      <c r="D178" s="29"/>
      <c r="E178" s="29"/>
      <c r="F178" s="29"/>
      <c r="G178" s="29"/>
    </row>
    <row r="179" spans="1:7" x14ac:dyDescent="0.2">
      <c r="A179" s="29"/>
      <c r="B179" s="29"/>
      <c r="C179" s="29"/>
      <c r="D179" s="29"/>
      <c r="E179" s="29"/>
      <c r="F179" s="29"/>
      <c r="G179" s="29"/>
    </row>
    <row r="180" spans="1:7" x14ac:dyDescent="0.2">
      <c r="A180" s="29"/>
      <c r="B180" s="29"/>
      <c r="C180" s="29"/>
      <c r="D180" s="29"/>
      <c r="E180" s="29"/>
      <c r="F180" s="29"/>
      <c r="G180" s="29"/>
    </row>
    <row r="181" spans="1:7" x14ac:dyDescent="0.2">
      <c r="A181" s="29"/>
      <c r="B181" s="29"/>
      <c r="C181" s="29"/>
      <c r="D181" s="29"/>
      <c r="E181" s="29"/>
      <c r="F181" s="29"/>
      <c r="G181" s="29"/>
    </row>
    <row r="182" spans="1:7" x14ac:dyDescent="0.2">
      <c r="A182" s="29"/>
      <c r="B182" s="29"/>
      <c r="C182" s="29"/>
      <c r="D182" s="29"/>
      <c r="E182" s="29"/>
      <c r="F182" s="29"/>
      <c r="G182" s="29"/>
    </row>
    <row r="183" spans="1:7" x14ac:dyDescent="0.2">
      <c r="A183" s="29"/>
      <c r="B183" s="29"/>
      <c r="C183" s="29"/>
      <c r="D183" s="29"/>
      <c r="E183" s="29"/>
      <c r="F183" s="29"/>
      <c r="G183" s="29"/>
    </row>
    <row r="184" spans="1:7" x14ac:dyDescent="0.2">
      <c r="A184" s="29"/>
      <c r="B184" s="29"/>
      <c r="C184" s="29"/>
      <c r="D184" s="29"/>
      <c r="E184" s="29"/>
      <c r="F184" s="29"/>
      <c r="G184" s="29"/>
    </row>
    <row r="185" spans="1:7" x14ac:dyDescent="0.2">
      <c r="A185" s="29"/>
      <c r="B185" s="29"/>
      <c r="C185" s="29"/>
      <c r="D185" s="29"/>
      <c r="E185" s="29"/>
      <c r="F185" s="29"/>
      <c r="G185" s="29"/>
    </row>
    <row r="186" spans="1:7" x14ac:dyDescent="0.2">
      <c r="A186" s="29"/>
      <c r="B186" s="29"/>
      <c r="C186" s="29"/>
      <c r="D186" s="29"/>
      <c r="E186" s="29"/>
      <c r="F186" s="29"/>
      <c r="G186" s="29"/>
    </row>
    <row r="187" spans="1:7" x14ac:dyDescent="0.2">
      <c r="A187" s="29"/>
      <c r="B187" s="29"/>
      <c r="C187" s="29"/>
      <c r="D187" s="29"/>
      <c r="E187" s="29"/>
      <c r="F187" s="29"/>
      <c r="G187" s="29"/>
    </row>
    <row r="188" spans="1:7" x14ac:dyDescent="0.2">
      <c r="A188" s="29"/>
      <c r="B188" s="29"/>
      <c r="C188" s="29"/>
      <c r="D188" s="29"/>
      <c r="E188" s="29"/>
      <c r="F188" s="29"/>
      <c r="G188" s="29"/>
    </row>
    <row r="189" spans="1:7" x14ac:dyDescent="0.2">
      <c r="A189" s="29"/>
      <c r="B189" s="29"/>
      <c r="C189" s="29"/>
      <c r="D189" s="29"/>
      <c r="E189" s="29"/>
      <c r="F189" s="29"/>
      <c r="G189" s="29"/>
    </row>
    <row r="190" spans="1:7" x14ac:dyDescent="0.2">
      <c r="A190" s="29"/>
      <c r="B190" s="29"/>
      <c r="C190" s="29"/>
      <c r="D190" s="29"/>
      <c r="E190" s="29"/>
      <c r="F190" s="29"/>
      <c r="G190" s="29"/>
    </row>
    <row r="191" spans="1:7" x14ac:dyDescent="0.2">
      <c r="A191" s="29"/>
      <c r="B191" s="29"/>
      <c r="C191" s="29"/>
      <c r="D191" s="29"/>
      <c r="E191" s="29"/>
      <c r="F191" s="29"/>
      <c r="G191" s="29"/>
    </row>
    <row r="192" spans="1:7" x14ac:dyDescent="0.2">
      <c r="A192" s="29"/>
      <c r="B192" s="29"/>
      <c r="C192" s="29"/>
      <c r="D192" s="29"/>
      <c r="E192" s="29"/>
      <c r="F192" s="29"/>
      <c r="G192" s="29"/>
    </row>
    <row r="193" spans="1:7" x14ac:dyDescent="0.2">
      <c r="A193" s="29"/>
      <c r="B193" s="29"/>
      <c r="C193" s="29"/>
      <c r="D193" s="29"/>
      <c r="E193" s="29"/>
      <c r="F193" s="29"/>
      <c r="G193" s="29"/>
    </row>
    <row r="194" spans="1:7" x14ac:dyDescent="0.2">
      <c r="A194" s="29"/>
      <c r="B194" s="29"/>
      <c r="C194" s="29"/>
      <c r="D194" s="29"/>
      <c r="E194" s="29"/>
      <c r="F194" s="29"/>
      <c r="G194" s="29"/>
    </row>
    <row r="195" spans="1:7" x14ac:dyDescent="0.2">
      <c r="A195" s="29"/>
      <c r="B195" s="29"/>
      <c r="C195" s="29"/>
      <c r="D195" s="29"/>
      <c r="E195" s="29"/>
      <c r="F195" s="29"/>
      <c r="G195" s="29"/>
    </row>
    <row r="196" spans="1:7" x14ac:dyDescent="0.2">
      <c r="A196" s="29"/>
      <c r="B196" s="29"/>
      <c r="C196" s="29"/>
      <c r="D196" s="29"/>
      <c r="E196" s="29"/>
      <c r="F196" s="29"/>
      <c r="G196" s="29"/>
    </row>
    <row r="197" spans="1:7" x14ac:dyDescent="0.2">
      <c r="A197" s="29"/>
      <c r="B197" s="29"/>
      <c r="C197" s="29"/>
      <c r="D197" s="29"/>
      <c r="E197" s="29"/>
      <c r="F197" s="29"/>
      <c r="G197" s="29"/>
    </row>
    <row r="198" spans="1:7" x14ac:dyDescent="0.2">
      <c r="A198" s="29"/>
      <c r="B198" s="29"/>
      <c r="C198" s="29"/>
      <c r="D198" s="29"/>
      <c r="E198" s="29"/>
      <c r="F198" s="29"/>
      <c r="G198" s="29"/>
    </row>
    <row r="199" spans="1:7" x14ac:dyDescent="0.2">
      <c r="A199" s="29"/>
      <c r="B199" s="29"/>
      <c r="C199" s="29"/>
      <c r="D199" s="29"/>
      <c r="E199" s="29"/>
      <c r="F199" s="29"/>
      <c r="G199" s="29"/>
    </row>
    <row r="200" spans="1:7" x14ac:dyDescent="0.2">
      <c r="A200" s="29"/>
      <c r="B200" s="29"/>
      <c r="C200" s="29"/>
      <c r="D200" s="29"/>
      <c r="E200" s="29"/>
      <c r="F200" s="29"/>
      <c r="G200" s="29"/>
    </row>
    <row r="201" spans="1:7" x14ac:dyDescent="0.2">
      <c r="A201" s="29"/>
      <c r="B201" s="29"/>
      <c r="C201" s="29"/>
      <c r="D201" s="29"/>
      <c r="E201" s="29"/>
      <c r="F201" s="29"/>
      <c r="G201" s="29"/>
    </row>
  </sheetData>
  <sheetProtection algorithmName="SHA-512" hashValue="ybYGsBZhMOH0QoD/+UJ/SFpnfHZr/ahldHp2AeR95m6U+6DTNcP84EZ58/re61iQJuTmfgdNMalUUoBoKK1slw==" saltValue="VrLvWWuoZvVNNhTwLeQOJg==" spinCount="100000" sheet="1" objects="1" scenarios="1" formatRows="0" insertRows="0"/>
  <mergeCells count="131">
    <mergeCell ref="A121:B121"/>
    <mergeCell ref="E106:F106"/>
    <mergeCell ref="A116:B116"/>
    <mergeCell ref="A117:B117"/>
    <mergeCell ref="A118:B118"/>
    <mergeCell ref="A119:B119"/>
    <mergeCell ref="A120:B120"/>
    <mergeCell ref="E111:F111"/>
    <mergeCell ref="E100:F101"/>
    <mergeCell ref="B134:C134"/>
    <mergeCell ref="B135:C135"/>
    <mergeCell ref="D134:E134"/>
    <mergeCell ref="D135:E135"/>
    <mergeCell ref="B124:C124"/>
    <mergeCell ref="B125:C125"/>
    <mergeCell ref="B130:C130"/>
    <mergeCell ref="B131:C131"/>
    <mergeCell ref="B132:C132"/>
    <mergeCell ref="B126:C126"/>
    <mergeCell ref="B127:C127"/>
    <mergeCell ref="B128:C128"/>
    <mergeCell ref="B129:C129"/>
    <mergeCell ref="A88:B88"/>
    <mergeCell ref="A89:B89"/>
    <mergeCell ref="E107:F107"/>
    <mergeCell ref="E108:F108"/>
    <mergeCell ref="E110:F110"/>
    <mergeCell ref="A96:B96"/>
    <mergeCell ref="A97:B97"/>
    <mergeCell ref="A90:B90"/>
    <mergeCell ref="A91:B91"/>
    <mergeCell ref="A92:B92"/>
    <mergeCell ref="A93:B93"/>
    <mergeCell ref="A94:B94"/>
    <mergeCell ref="A95:B95"/>
    <mergeCell ref="A108:C108"/>
    <mergeCell ref="A100:C100"/>
    <mergeCell ref="E102:F102"/>
    <mergeCell ref="E109:F109"/>
    <mergeCell ref="E103:F103"/>
    <mergeCell ref="E104:F104"/>
    <mergeCell ref="E105:F105"/>
    <mergeCell ref="A98:G98"/>
    <mergeCell ref="H100:H101"/>
    <mergeCell ref="A66:B66"/>
    <mergeCell ref="A67:B67"/>
    <mergeCell ref="A68:B68"/>
    <mergeCell ref="A69:B69"/>
    <mergeCell ref="A70:B70"/>
    <mergeCell ref="A71:B71"/>
    <mergeCell ref="A78:B78"/>
    <mergeCell ref="A79:B79"/>
    <mergeCell ref="A80:B80"/>
    <mergeCell ref="G100:G101"/>
    <mergeCell ref="A83:B83"/>
    <mergeCell ref="A72:B72"/>
    <mergeCell ref="A73:B73"/>
    <mergeCell ref="A74:B74"/>
    <mergeCell ref="A75:B75"/>
    <mergeCell ref="A76:B76"/>
    <mergeCell ref="A77:B77"/>
    <mergeCell ref="A81:B81"/>
    <mergeCell ref="A82:B82"/>
    <mergeCell ref="A84:B84"/>
    <mergeCell ref="A85:B85"/>
    <mergeCell ref="A86:B86"/>
    <mergeCell ref="A87:B87"/>
    <mergeCell ref="A60:B60"/>
    <mergeCell ref="A61:B61"/>
    <mergeCell ref="A62:B62"/>
    <mergeCell ref="A63:B63"/>
    <mergeCell ref="A64:B64"/>
    <mergeCell ref="A65:B65"/>
    <mergeCell ref="A54:B54"/>
    <mergeCell ref="A55:B55"/>
    <mergeCell ref="A56:B56"/>
    <mergeCell ref="A57:B57"/>
    <mergeCell ref="A58:B58"/>
    <mergeCell ref="A59:B59"/>
    <mergeCell ref="A48:B48"/>
    <mergeCell ref="A49:B49"/>
    <mergeCell ref="A50:B50"/>
    <mergeCell ref="A51:B51"/>
    <mergeCell ref="A52:B52"/>
    <mergeCell ref="A53:B53"/>
    <mergeCell ref="A42:B42"/>
    <mergeCell ref="A43:B43"/>
    <mergeCell ref="A44:B44"/>
    <mergeCell ref="A45:B45"/>
    <mergeCell ref="A46:B46"/>
    <mergeCell ref="A47:B47"/>
    <mergeCell ref="A36:B36"/>
    <mergeCell ref="A37:B37"/>
    <mergeCell ref="A38:B38"/>
    <mergeCell ref="A39:B39"/>
    <mergeCell ref="A40:B40"/>
    <mergeCell ref="A41:B41"/>
    <mergeCell ref="A30:B30"/>
    <mergeCell ref="A31:B31"/>
    <mergeCell ref="A32:B32"/>
    <mergeCell ref="A33:B33"/>
    <mergeCell ref="A34:B34"/>
    <mergeCell ref="A35:B35"/>
    <mergeCell ref="A28:B28"/>
    <mergeCell ref="A29:B29"/>
    <mergeCell ref="A16:B16"/>
    <mergeCell ref="A17:B17"/>
    <mergeCell ref="A18:B18"/>
    <mergeCell ref="A19:B19"/>
    <mergeCell ref="A20:B20"/>
    <mergeCell ref="A21:B21"/>
    <mergeCell ref="A22:G22"/>
    <mergeCell ref="A23:G23"/>
    <mergeCell ref="A15:B15"/>
    <mergeCell ref="B5:C5"/>
    <mergeCell ref="B6:C6"/>
    <mergeCell ref="A8:G8"/>
    <mergeCell ref="A9:B9"/>
    <mergeCell ref="A24:B24"/>
    <mergeCell ref="A25:B25"/>
    <mergeCell ref="A26:B26"/>
    <mergeCell ref="A27:B27"/>
    <mergeCell ref="A2:G2"/>
    <mergeCell ref="A10:B10"/>
    <mergeCell ref="A11:B11"/>
    <mergeCell ref="A12:B12"/>
    <mergeCell ref="A13:B13"/>
    <mergeCell ref="B3:E3"/>
    <mergeCell ref="B4:E4"/>
    <mergeCell ref="B1:F1"/>
    <mergeCell ref="A14:B14"/>
  </mergeCells>
  <conditionalFormatting sqref="B1">
    <cfRule type="cellIs" dxfId="83" priority="1" operator="equal">
      <formula>"ERROR"</formula>
    </cfRule>
  </conditionalFormatting>
  <pageMargins left="0.7" right="0.7" top="0.75" bottom="0.75" header="0.3" footer="0.3"/>
  <pageSetup orientation="portrait" horizontalDpi="4294967295" verticalDpi="4294967295" r:id="rId1"/>
  <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7030A0"/>
  </sheetPr>
  <dimension ref="A1:X86"/>
  <sheetViews>
    <sheetView showGridLines="0" zoomScaleNormal="100" workbookViewId="0">
      <selection activeCell="F6" sqref="F6"/>
    </sheetView>
  </sheetViews>
  <sheetFormatPr baseColWidth="10" defaultColWidth="11.42578125" defaultRowHeight="13.9" customHeight="1" x14ac:dyDescent="0.2"/>
  <cols>
    <col min="1" max="1" width="3.42578125" style="11" customWidth="1"/>
    <col min="2" max="2" width="34" style="11" customWidth="1"/>
    <col min="3" max="3" width="33.85546875" style="11" customWidth="1"/>
    <col min="4" max="4" width="32.7109375" style="11" customWidth="1"/>
    <col min="5" max="5" width="27.85546875" style="11" customWidth="1"/>
    <col min="6" max="6" width="34.85546875" style="11" customWidth="1"/>
    <col min="7" max="7" width="36.140625" style="11" customWidth="1"/>
    <col min="8" max="8" width="41.140625" style="11" customWidth="1"/>
    <col min="9" max="9" width="59.42578125" style="11" customWidth="1"/>
    <col min="10" max="10" width="29" style="11" customWidth="1"/>
    <col min="11" max="11" width="20.28515625" style="11" customWidth="1"/>
    <col min="12" max="12" width="25.5703125" style="11" customWidth="1"/>
    <col min="13" max="13" width="14.5703125" style="11" customWidth="1"/>
    <col min="14" max="14" width="26.42578125" style="11" customWidth="1"/>
    <col min="15" max="15" width="19.42578125" style="11" customWidth="1"/>
    <col min="16" max="17" width="11.42578125" style="11" customWidth="1"/>
    <col min="18" max="18" width="8.42578125" style="11" customWidth="1"/>
    <col min="19" max="20" width="11.42578125" style="11" customWidth="1"/>
    <col min="21" max="21" width="7.42578125" style="11" customWidth="1"/>
    <col min="22" max="26" width="11.42578125" style="11" customWidth="1"/>
    <col min="27" max="16384" width="11.42578125" style="11"/>
  </cols>
  <sheetData>
    <row r="1" spans="1:10" ht="81.75" customHeight="1" x14ac:dyDescent="0.25">
      <c r="A1" s="1477"/>
      <c r="B1" s="1477"/>
      <c r="C1" s="1940" t="s">
        <v>1860</v>
      </c>
      <c r="D1" s="1940"/>
      <c r="E1" s="1940"/>
      <c r="F1" s="1268" t="s">
        <v>1861</v>
      </c>
      <c r="I1" s="49"/>
    </row>
    <row r="2" spans="1:10" ht="32.25" customHeight="1" x14ac:dyDescent="0.2">
      <c r="A2" s="1678"/>
      <c r="B2" s="1678"/>
      <c r="C2" s="1678"/>
      <c r="D2" s="1678"/>
      <c r="E2" s="1678"/>
      <c r="F2" s="1678"/>
      <c r="J2" s="50"/>
    </row>
    <row r="3" spans="1:10" ht="10.5" customHeight="1" x14ac:dyDescent="0.2">
      <c r="E3" s="9"/>
      <c r="F3" s="51"/>
      <c r="J3" s="50"/>
    </row>
    <row r="4" spans="1:10" ht="20.100000000000001" customHeight="1" x14ac:dyDescent="0.2">
      <c r="B4" s="10" t="s">
        <v>118</v>
      </c>
      <c r="C4" s="1942" t="str">
        <f>+'ANALÍTICA ESTADO SITUACIÓN F'!C6</f>
        <v xml:space="preserve">130000 - DIRECCIÓN SECTOR HÁBITAT Y AMBIENTE </v>
      </c>
      <c r="D4" s="1942"/>
      <c r="E4" s="1942"/>
      <c r="F4" s="1942"/>
      <c r="J4" s="50"/>
    </row>
    <row r="5" spans="1:10" ht="20.100000000000001" customHeight="1" x14ac:dyDescent="0.2">
      <c r="B5" s="11" t="s">
        <v>1</v>
      </c>
      <c r="C5" s="1936" t="str">
        <f>+'ANALÍTICA ESTADO SITUACIÓN F'!C7</f>
        <v>208 - Caja de Vivienda Popular – CVP</v>
      </c>
      <c r="D5" s="1937"/>
      <c r="E5" s="1937"/>
      <c r="F5" s="1937"/>
      <c r="J5" s="50"/>
    </row>
    <row r="6" spans="1:10" ht="20.100000000000001" customHeight="1" x14ac:dyDescent="0.2">
      <c r="B6" s="1190" t="s">
        <v>1781</v>
      </c>
      <c r="C6" s="1937">
        <f>+'ANALÍTICAS GASTO PÚBLICO'!B5</f>
        <v>2025</v>
      </c>
      <c r="D6" s="1937"/>
      <c r="E6" s="16" t="s">
        <v>121</v>
      </c>
      <c r="F6" s="26">
        <f>+'ANALÍTICAS GASTO PÚBLICO'!G4</f>
        <v>2024</v>
      </c>
      <c r="J6" s="50"/>
    </row>
    <row r="7" spans="1:10" ht="20.100000000000001" customHeight="1" x14ac:dyDescent="0.2">
      <c r="B7" s="11" t="s">
        <v>3</v>
      </c>
      <c r="C7" s="1937">
        <f>+'ANALÍTICAS GASTO PÚBLICO'!G5</f>
        <v>56</v>
      </c>
      <c r="D7" s="1937"/>
      <c r="E7" s="16"/>
      <c r="J7" s="50"/>
    </row>
    <row r="8" spans="1:10" ht="20.100000000000001" customHeight="1" x14ac:dyDescent="0.2">
      <c r="B8" s="11" t="s">
        <v>4</v>
      </c>
      <c r="C8" s="1943">
        <f>+'ANALÍTICAS GASTO PÚBLICO'!B6</f>
        <v>45703</v>
      </c>
      <c r="D8" s="1944"/>
      <c r="E8" s="16" t="s">
        <v>122</v>
      </c>
      <c r="F8" s="1191">
        <f>+'ANALÍTICAS GASTO PÚBLICO'!G6</f>
        <v>45366</v>
      </c>
      <c r="J8" s="50"/>
    </row>
    <row r="9" spans="1:10" ht="13.9" customHeight="1" x14ac:dyDescent="0.2">
      <c r="E9" s="51"/>
      <c r="F9" s="51"/>
      <c r="J9" s="50"/>
    </row>
    <row r="10" spans="1:10" ht="13.9" customHeight="1" x14ac:dyDescent="0.2">
      <c r="B10" s="1941" t="s">
        <v>1855</v>
      </c>
      <c r="C10" s="1941"/>
      <c r="D10" s="1941"/>
      <c r="E10" s="1941"/>
      <c r="F10" s="1941"/>
      <c r="G10" s="51"/>
      <c r="J10" s="50"/>
    </row>
    <row r="11" spans="1:10" ht="13.9" customHeight="1" x14ac:dyDescent="0.25">
      <c r="E11" s="52"/>
      <c r="F11" s="51"/>
    </row>
    <row r="12" spans="1:10" ht="13.9" customHeight="1" x14ac:dyDescent="0.25">
      <c r="B12" s="1037" t="s">
        <v>450</v>
      </c>
      <c r="C12" s="49"/>
    </row>
    <row r="13" spans="1:10" ht="13.9" customHeight="1" thickBot="1" x14ac:dyDescent="0.25">
      <c r="B13" s="53"/>
      <c r="C13" s="53"/>
      <c r="D13" s="53"/>
    </row>
    <row r="14" spans="1:10" ht="19.5" customHeight="1" thickTop="1" x14ac:dyDescent="0.25">
      <c r="A14" s="54"/>
      <c r="B14" s="1938" t="s">
        <v>451</v>
      </c>
      <c r="C14" s="1939"/>
      <c r="D14" s="28" t="s">
        <v>123</v>
      </c>
      <c r="E14" s="55"/>
    </row>
    <row r="15" spans="1:10" ht="30" customHeight="1" x14ac:dyDescent="0.25">
      <c r="A15" s="199" t="b">
        <v>1</v>
      </c>
      <c r="B15" s="1934"/>
      <c r="C15" s="1935"/>
      <c r="D15" s="1252">
        <f>IF(A15,'ANALÍTICAS GASTO PÚBLICO'!D119,0)</f>
        <v>8097695221</v>
      </c>
      <c r="E15" s="55"/>
      <c r="F15" s="55"/>
      <c r="J15" s="49"/>
    </row>
    <row r="16" spans="1:10" ht="29.25" customHeight="1" x14ac:dyDescent="0.25">
      <c r="A16" s="200" t="b">
        <v>1</v>
      </c>
      <c r="B16" s="1930"/>
      <c r="C16" s="1931"/>
      <c r="D16" s="243">
        <f>IF(A16,'ANALÍTICAS GASTO PÚBLICO'!F21,0)</f>
        <v>924307453</v>
      </c>
      <c r="E16" s="56"/>
      <c r="F16" s="55"/>
      <c r="J16" s="49"/>
    </row>
    <row r="17" spans="1:10" ht="29.25" customHeight="1" x14ac:dyDescent="0.25">
      <c r="A17" s="200" t="b">
        <v>1</v>
      </c>
      <c r="B17" s="1930"/>
      <c r="C17" s="1931"/>
      <c r="D17" s="243">
        <f>IF(A17,'ANALÍTICAS GASTO PÚBLICO'!C106,0)</f>
        <v>258934000</v>
      </c>
      <c r="E17" s="56"/>
      <c r="F17" s="55"/>
      <c r="J17" s="49"/>
    </row>
    <row r="18" spans="1:10" ht="29.25" customHeight="1" thickBot="1" x14ac:dyDescent="0.3">
      <c r="A18" s="200" t="b">
        <v>1</v>
      </c>
      <c r="B18" s="1932"/>
      <c r="C18" s="1933"/>
      <c r="D18" s="244">
        <f>IF(A18,'ANALÍTICAS GASTO PÚBLICO'!C114,0)</f>
        <v>2674610094</v>
      </c>
      <c r="E18" s="56"/>
      <c r="F18" s="55"/>
      <c r="J18" s="49"/>
    </row>
    <row r="19" spans="1:10" ht="29.25" customHeight="1" thickTop="1" thickBot="1" x14ac:dyDescent="0.3">
      <c r="A19" s="54"/>
      <c r="B19" s="1948" t="s">
        <v>35</v>
      </c>
      <c r="C19" s="1949"/>
      <c r="D19" s="245">
        <f>SUM(D15:D18)</f>
        <v>11955546768</v>
      </c>
      <c r="E19" s="56"/>
      <c r="F19" s="55"/>
      <c r="J19" s="49"/>
    </row>
    <row r="20" spans="1:10" ht="18.75" customHeight="1" thickTop="1" x14ac:dyDescent="0.25">
      <c r="B20" s="27"/>
      <c r="C20" s="27"/>
      <c r="D20" s="27"/>
      <c r="E20" s="56"/>
      <c r="F20" s="55"/>
      <c r="J20" s="49"/>
    </row>
    <row r="21" spans="1:10" ht="16.5" customHeight="1" x14ac:dyDescent="0.25">
      <c r="B21" s="1956"/>
      <c r="C21" s="1956"/>
      <c r="D21" s="1956"/>
      <c r="E21" s="56"/>
      <c r="F21" s="55"/>
      <c r="J21" s="49"/>
    </row>
    <row r="22" spans="1:10" ht="24" customHeight="1" x14ac:dyDescent="0.2">
      <c r="C22" s="1957" t="s">
        <v>124</v>
      </c>
      <c r="D22" s="1957"/>
      <c r="E22" s="1957"/>
      <c r="F22" s="57" t="s">
        <v>125</v>
      </c>
    </row>
    <row r="23" spans="1:10" ht="78.75" customHeight="1" x14ac:dyDescent="0.2">
      <c r="B23" s="246" t="s">
        <v>440</v>
      </c>
      <c r="C23" s="17" t="s">
        <v>126</v>
      </c>
      <c r="D23" s="18" t="s">
        <v>127</v>
      </c>
      <c r="E23" s="17" t="s">
        <v>128</v>
      </c>
      <c r="F23" s="18" t="s">
        <v>129</v>
      </c>
    </row>
    <row r="24" spans="1:10" ht="50.25" customHeight="1" x14ac:dyDescent="0.2">
      <c r="B24" s="19" t="str">
        <f>IFERROR(IF(D24="No hay",VLOOKUP(SUM(C25:F25),TablaMuestra[[Mínimo SIN Concepto Vig Anterior]:[Riesgo de Control]],2,TRUE),VLOOKUP(SUM(C25:F25),TablaMuestra[],3,TRUE)),"")</f>
        <v>MEDIO</v>
      </c>
      <c r="C24" s="20" t="s">
        <v>145</v>
      </c>
      <c r="D24" s="21" t="s">
        <v>143</v>
      </c>
      <c r="E24" s="21" t="s">
        <v>132</v>
      </c>
      <c r="F24" s="21" t="s">
        <v>154</v>
      </c>
    </row>
    <row r="25" spans="1:10" ht="18.75" customHeight="1" x14ac:dyDescent="0.2">
      <c r="B25" s="22" t="str">
        <f>_xlfn.IFNA(CONCATENATE("TOTAL :  ",SUM(C25:F25)),"")</f>
        <v>TOTAL :  9,5</v>
      </c>
      <c r="C25" s="22">
        <f>_xlfn.IFNA(VLOOKUP(C24,Hallazgos_anterior[],2,FALSE),"")</f>
        <v>2</v>
      </c>
      <c r="D25" s="22">
        <f>_xlfn.IFNA(VLOOKUP(D24,Concepto_anterior[],2,FALSE),"")</f>
        <v>2.5</v>
      </c>
      <c r="E25" s="22">
        <f>_xlfn.IFNA(VLOOKUP(E24,Diseño_Control[],2,FALSE),"")</f>
        <v>2</v>
      </c>
      <c r="F25" s="22">
        <f>_xlfn.IFNA(VLOOKUP(F24,Riesgo_residual[],2,FALSE),"")</f>
        <v>3</v>
      </c>
    </row>
    <row r="26" spans="1:10" ht="13.9" customHeight="1" x14ac:dyDescent="0.2">
      <c r="B26" s="1945"/>
      <c r="C26" s="1945"/>
      <c r="D26" s="1945"/>
      <c r="E26" s="1945"/>
      <c r="F26" s="1945"/>
    </row>
    <row r="27" spans="1:10" ht="19.5" customHeight="1" x14ac:dyDescent="0.2">
      <c r="B27" s="1455"/>
      <c r="C27" s="1455"/>
      <c r="D27" s="1455"/>
      <c r="E27" s="1455"/>
      <c r="F27" s="1455"/>
    </row>
    <row r="28" spans="1:10" ht="26.25" customHeight="1" x14ac:dyDescent="0.2">
      <c r="B28" s="1950" t="s">
        <v>134</v>
      </c>
      <c r="C28" s="1952" t="s">
        <v>135</v>
      </c>
      <c r="D28" s="1953"/>
      <c r="E28" s="1950" t="s">
        <v>136</v>
      </c>
      <c r="F28" s="1950" t="s">
        <v>137</v>
      </c>
    </row>
    <row r="29" spans="1:10" ht="24" customHeight="1" x14ac:dyDescent="0.2">
      <c r="B29" s="1951"/>
      <c r="C29" s="1954"/>
      <c r="D29" s="1955"/>
      <c r="E29" s="1951"/>
      <c r="F29" s="1951"/>
    </row>
    <row r="30" spans="1:10" ht="29.25" customHeight="1" x14ac:dyDescent="0.2">
      <c r="B30" s="24">
        <f>_xlfn.IFNA(VLOOKUP(Riesgo,TablaMuestra[[Riesgo de Control]:[Parametro Minimo Concepto]],2,FALSE),"")</f>
        <v>0.25</v>
      </c>
      <c r="C30" s="1946">
        <f>_xlfn.IFNA(VLOOKUP(Riesgo,TablaMuestra[[Riesgo de Control]:[Parametro Minimo Concepto]],5,FALSE),"")</f>
        <v>0.75</v>
      </c>
      <c r="D30" s="1947"/>
      <c r="E30" s="24">
        <f>_xlfn.IFNA(VLOOKUP(Riesgo,TablaMuestra[[Riesgo de Control]:[Parametro Minimo Concepto]],3,FALSE),"")</f>
        <v>0.25</v>
      </c>
      <c r="F30" s="23">
        <f>IFERROR(D19*E30,"")</f>
        <v>2988886692</v>
      </c>
    </row>
    <row r="31" spans="1:10" ht="13.9" customHeight="1" x14ac:dyDescent="0.2">
      <c r="B31" s="1945" t="s">
        <v>144</v>
      </c>
      <c r="C31" s="1945"/>
      <c r="D31" s="1945"/>
      <c r="E31" s="1945"/>
      <c r="F31" s="1945"/>
    </row>
    <row r="32" spans="1:10" ht="190.9" customHeight="1" x14ac:dyDescent="0.2">
      <c r="B32" s="1958"/>
      <c r="C32" s="1958"/>
      <c r="D32" s="1958"/>
      <c r="E32" s="1958"/>
      <c r="F32" s="1958"/>
    </row>
    <row r="33" spans="2:8" ht="19.899999999999999" customHeight="1" x14ac:dyDescent="0.2">
      <c r="B33" s="1958"/>
      <c r="C33" s="1958"/>
      <c r="D33" s="1958"/>
      <c r="E33" s="1958"/>
      <c r="F33" s="1958"/>
    </row>
    <row r="34" spans="2:8" ht="46.9" customHeight="1" x14ac:dyDescent="0.2">
      <c r="B34" s="1958"/>
      <c r="C34" s="1958"/>
      <c r="D34" s="1958"/>
      <c r="E34" s="1958"/>
      <c r="F34" s="1958"/>
      <c r="G34" s="62"/>
      <c r="H34" s="62"/>
    </row>
    <row r="35" spans="2:8" ht="21" customHeight="1" x14ac:dyDescent="0.25">
      <c r="B35" s="25"/>
      <c r="C35" s="25"/>
      <c r="D35" s="1240"/>
      <c r="E35" s="25"/>
      <c r="F35" s="25"/>
    </row>
    <row r="36" spans="2:8" ht="16.5" customHeight="1" x14ac:dyDescent="0.25">
      <c r="B36" s="32"/>
      <c r="C36" s="32"/>
      <c r="D36" s="1241"/>
      <c r="E36" s="16"/>
      <c r="F36" s="68"/>
    </row>
    <row r="37" spans="2:8" ht="13.9" customHeight="1" x14ac:dyDescent="0.25">
      <c r="B37" s="69"/>
      <c r="C37" s="69"/>
      <c r="D37" s="69"/>
      <c r="E37" s="70"/>
      <c r="F37" s="68"/>
    </row>
    <row r="38" spans="2:8" ht="21.75" customHeight="1" x14ac:dyDescent="0.25">
      <c r="B38" s="69"/>
      <c r="C38" s="69"/>
      <c r="D38" s="71"/>
      <c r="E38" s="70"/>
      <c r="F38" s="68"/>
    </row>
    <row r="39" spans="2:8" ht="13.9" customHeight="1" x14ac:dyDescent="0.2">
      <c r="B39" s="69"/>
      <c r="D39" s="69"/>
      <c r="E39" s="69"/>
      <c r="F39" s="69"/>
    </row>
    <row r="40" spans="2:8" ht="13.9" customHeight="1" x14ac:dyDescent="0.2">
      <c r="B40" s="69"/>
      <c r="C40" s="76"/>
      <c r="D40" s="77"/>
      <c r="E40" s="77"/>
      <c r="F40" s="77"/>
    </row>
    <row r="41" spans="2:8" ht="13.9" customHeight="1" x14ac:dyDescent="0.25">
      <c r="B41" s="69"/>
      <c r="C41" s="78"/>
      <c r="D41" s="79"/>
      <c r="E41" s="79"/>
      <c r="F41" s="79"/>
    </row>
    <row r="42" spans="2:8" ht="13.9" customHeight="1" x14ac:dyDescent="0.2">
      <c r="B42" s="69"/>
      <c r="C42" s="82"/>
      <c r="D42" s="83"/>
      <c r="E42" s="83"/>
      <c r="F42" s="83"/>
    </row>
    <row r="43" spans="2:8" ht="13.9" customHeight="1" x14ac:dyDescent="0.25">
      <c r="C43" s="82"/>
      <c r="D43" s="85"/>
      <c r="E43" s="85"/>
      <c r="F43" s="85"/>
      <c r="G43" s="86"/>
      <c r="H43" s="86"/>
    </row>
    <row r="44" spans="2:8" ht="13.9" customHeight="1" x14ac:dyDescent="0.25">
      <c r="B44" s="89"/>
      <c r="C44" s="89"/>
      <c r="D44" s="89"/>
      <c r="E44" s="89"/>
      <c r="F44" s="89"/>
      <c r="G44" s="86"/>
      <c r="H44" s="86"/>
    </row>
    <row r="45" spans="2:8" ht="26.45" customHeight="1" x14ac:dyDescent="0.25">
      <c r="G45" s="86"/>
      <c r="H45" s="86"/>
    </row>
    <row r="46" spans="2:8" ht="13.9" customHeight="1" x14ac:dyDescent="0.25">
      <c r="G46" s="86"/>
      <c r="H46" s="86"/>
    </row>
    <row r="47" spans="2:8" ht="13.9" customHeight="1" x14ac:dyDescent="0.25">
      <c r="B47" s="55"/>
      <c r="C47" s="55"/>
      <c r="D47" s="92"/>
      <c r="F47" s="49"/>
    </row>
    <row r="48" spans="2:8" ht="13.9" customHeight="1" x14ac:dyDescent="0.25">
      <c r="B48" s="12"/>
      <c r="C48" s="12"/>
      <c r="D48" s="13"/>
      <c r="E48" s="14"/>
      <c r="F48" s="14"/>
    </row>
    <row r="49" spans="2:24" ht="20.25" customHeight="1" x14ac:dyDescent="0.2"/>
    <row r="50" spans="2:24" ht="13.9" customHeight="1" x14ac:dyDescent="0.25">
      <c r="B50" s="1964"/>
      <c r="C50" s="1964"/>
      <c r="D50" s="1964"/>
      <c r="E50" s="1964"/>
      <c r="F50" s="1964"/>
    </row>
    <row r="51" spans="2:24" ht="13.9" customHeight="1" x14ac:dyDescent="0.2">
      <c r="B51" s="1963"/>
      <c r="C51" s="1963"/>
      <c r="D51" s="1963"/>
      <c r="E51" s="1963"/>
      <c r="F51" s="1963"/>
    </row>
    <row r="53" spans="2:24" ht="13.9" customHeight="1" x14ac:dyDescent="0.25">
      <c r="B53" s="55"/>
      <c r="C53" s="55"/>
    </row>
    <row r="54" spans="2:24" ht="13.9" hidden="1" customHeight="1" x14ac:dyDescent="0.2">
      <c r="B54" s="97"/>
      <c r="C54" s="98"/>
    </row>
    <row r="55" spans="2:24" ht="13.9" hidden="1" customHeight="1" x14ac:dyDescent="0.2"/>
    <row r="56" spans="2:24" ht="13.9" hidden="1" customHeight="1" x14ac:dyDescent="0.2">
      <c r="B56" s="1965"/>
      <c r="C56" s="1965"/>
      <c r="D56" s="1965"/>
      <c r="E56" s="1965"/>
      <c r="F56" s="1965"/>
    </row>
    <row r="57" spans="2:24" ht="13.9" hidden="1" customHeight="1" x14ac:dyDescent="0.2">
      <c r="B57" s="1965"/>
      <c r="C57" s="1965"/>
      <c r="D57" s="1965"/>
      <c r="E57" s="1965"/>
      <c r="F57" s="1965"/>
      <c r="I57" s="11" t="s">
        <v>138</v>
      </c>
      <c r="J57" s="11" t="s">
        <v>139</v>
      </c>
      <c r="L57" s="11" t="s">
        <v>140</v>
      </c>
      <c r="M57" s="11" t="s">
        <v>139</v>
      </c>
      <c r="R57" s="11" t="s">
        <v>141</v>
      </c>
    </row>
    <row r="58" spans="2:24" ht="13.9" hidden="1" customHeight="1" x14ac:dyDescent="0.2">
      <c r="B58" s="1966"/>
      <c r="C58" s="1966"/>
      <c r="D58" s="1966"/>
      <c r="E58" s="1966"/>
      <c r="F58" s="1966"/>
      <c r="I58" s="11" t="s">
        <v>130</v>
      </c>
      <c r="J58" s="11">
        <v>4</v>
      </c>
      <c r="L58" s="11" t="s">
        <v>131</v>
      </c>
      <c r="M58" s="11">
        <v>4</v>
      </c>
      <c r="Q58" s="58"/>
      <c r="R58" s="59"/>
      <c r="S58" s="60">
        <v>100</v>
      </c>
      <c r="T58" s="58"/>
      <c r="U58" s="58"/>
    </row>
    <row r="59" spans="2:24" ht="13.9" hidden="1" customHeight="1" x14ac:dyDescent="0.2">
      <c r="I59" s="10" t="s">
        <v>142</v>
      </c>
      <c r="J59" s="11">
        <v>3</v>
      </c>
      <c r="L59" s="10" t="s">
        <v>143</v>
      </c>
      <c r="M59" s="11">
        <v>2.5</v>
      </c>
      <c r="Q59" s="58"/>
      <c r="R59" s="59"/>
      <c r="S59" s="58"/>
      <c r="T59" s="58"/>
      <c r="U59" s="58"/>
    </row>
    <row r="60" spans="2:24" ht="13.9" hidden="1" customHeight="1" x14ac:dyDescent="0.25">
      <c r="B60" s="1964"/>
      <c r="C60" s="1964"/>
      <c r="D60" s="1964"/>
      <c r="E60" s="1964"/>
      <c r="F60" s="1964"/>
      <c r="I60" s="11" t="s">
        <v>145</v>
      </c>
      <c r="J60" s="11">
        <v>2</v>
      </c>
      <c r="L60" s="11" t="s">
        <v>146</v>
      </c>
      <c r="M60" s="11">
        <v>1</v>
      </c>
      <c r="Q60" s="58"/>
      <c r="R60" s="59"/>
      <c r="S60" s="58"/>
      <c r="T60" s="58"/>
      <c r="U60" s="58"/>
    </row>
    <row r="61" spans="2:24" ht="13.9" hidden="1" customHeight="1" x14ac:dyDescent="0.2">
      <c r="B61" s="1963"/>
      <c r="C61" s="1963"/>
      <c r="D61" s="1963"/>
      <c r="E61" s="1963"/>
      <c r="F61" s="1963"/>
      <c r="I61" s="11" t="s">
        <v>147</v>
      </c>
      <c r="J61" s="11">
        <v>1</v>
      </c>
      <c r="L61" s="11" t="s">
        <v>148</v>
      </c>
      <c r="M61" s="61">
        <v>0</v>
      </c>
      <c r="Q61" s="58"/>
      <c r="R61" s="59"/>
      <c r="S61" s="58"/>
      <c r="T61" s="58"/>
      <c r="U61" s="58"/>
    </row>
    <row r="62" spans="2:24" ht="13.9" hidden="1" customHeight="1" x14ac:dyDescent="0.2">
      <c r="I62" s="11" t="s">
        <v>148</v>
      </c>
      <c r="J62" s="11">
        <v>0</v>
      </c>
      <c r="M62" s="61" t="s">
        <v>144</v>
      </c>
      <c r="Q62" s="58"/>
      <c r="R62" s="59"/>
      <c r="S62" s="58"/>
      <c r="T62" s="58"/>
      <c r="U62" s="58"/>
    </row>
    <row r="63" spans="2:24" ht="13.9" hidden="1" customHeight="1" x14ac:dyDescent="0.2">
      <c r="B63" s="99"/>
      <c r="C63" s="100"/>
      <c r="Q63" s="63"/>
      <c r="R63" s="64"/>
      <c r="S63" s="65"/>
      <c r="T63" s="65"/>
      <c r="U63" s="58"/>
    </row>
    <row r="64" spans="2:24" s="15" customFormat="1" ht="20.25" hidden="1" customHeight="1" x14ac:dyDescent="0.25">
      <c r="B64" s="101"/>
      <c r="C64" s="98"/>
      <c r="D64" s="11"/>
      <c r="E64" s="11"/>
      <c r="F64" s="11"/>
      <c r="I64" s="11"/>
      <c r="J64" s="11"/>
      <c r="K64" s="11"/>
      <c r="L64" s="11"/>
      <c r="M64" s="11"/>
      <c r="N64" s="11"/>
      <c r="O64" s="11"/>
      <c r="P64" s="11"/>
      <c r="Q64" s="63"/>
      <c r="R64" s="66"/>
      <c r="S64" s="67"/>
      <c r="T64" s="67"/>
      <c r="U64" s="58"/>
      <c r="V64" s="11"/>
      <c r="W64" s="11"/>
      <c r="X64" s="11"/>
    </row>
    <row r="65" spans="9:23" ht="13.9" hidden="1" customHeight="1" x14ac:dyDescent="0.2">
      <c r="I65" s="11" t="s">
        <v>150</v>
      </c>
      <c r="J65" s="11" t="s">
        <v>139</v>
      </c>
      <c r="L65" s="11" t="s">
        <v>151</v>
      </c>
      <c r="M65" s="11" t="s">
        <v>139</v>
      </c>
      <c r="Q65" s="63"/>
      <c r="R65" s="66"/>
      <c r="S65" s="67"/>
      <c r="T65" s="67"/>
      <c r="U65" s="58"/>
    </row>
    <row r="66" spans="9:23" ht="13.9" hidden="1" customHeight="1" x14ac:dyDescent="0.2">
      <c r="I66" s="11" t="s">
        <v>152</v>
      </c>
      <c r="J66" s="11">
        <v>4</v>
      </c>
      <c r="L66" s="11" t="s">
        <v>153</v>
      </c>
      <c r="M66" s="11">
        <v>4</v>
      </c>
      <c r="Q66" s="58"/>
      <c r="R66" s="59"/>
      <c r="S66" s="58"/>
      <c r="T66" s="58"/>
      <c r="U66" s="58"/>
    </row>
    <row r="67" spans="9:23" ht="13.9" hidden="1" customHeight="1" x14ac:dyDescent="0.2">
      <c r="I67" s="10" t="s">
        <v>154</v>
      </c>
      <c r="J67" s="11">
        <v>3</v>
      </c>
      <c r="L67" s="10" t="s">
        <v>155</v>
      </c>
      <c r="M67" s="11">
        <v>3</v>
      </c>
      <c r="Q67" s="72"/>
      <c r="R67" s="66"/>
      <c r="S67" s="67"/>
      <c r="T67" s="67"/>
      <c r="U67" s="58"/>
    </row>
    <row r="68" spans="9:23" ht="13.9" hidden="1" customHeight="1" x14ac:dyDescent="0.2">
      <c r="I68" s="11" t="s">
        <v>133</v>
      </c>
      <c r="J68" s="11">
        <v>2</v>
      </c>
      <c r="L68" s="11" t="s">
        <v>132</v>
      </c>
      <c r="M68" s="11">
        <v>2</v>
      </c>
      <c r="Q68" s="73"/>
      <c r="R68" s="74"/>
      <c r="S68" s="75"/>
      <c r="T68" s="75"/>
      <c r="U68" s="58"/>
    </row>
    <row r="69" spans="9:23" ht="13.9" hidden="1" customHeight="1" x14ac:dyDescent="0.2">
      <c r="I69" s="10" t="s">
        <v>156</v>
      </c>
      <c r="J69" s="11">
        <v>1</v>
      </c>
      <c r="L69" s="10" t="s">
        <v>157</v>
      </c>
      <c r="M69" s="11">
        <v>1</v>
      </c>
      <c r="Q69" s="65"/>
      <c r="R69" s="66"/>
      <c r="S69" s="67"/>
      <c r="T69" s="67"/>
      <c r="U69" s="58" t="s">
        <v>158</v>
      </c>
    </row>
    <row r="70" spans="9:23" ht="13.9" hidden="1" customHeight="1" thickBot="1" x14ac:dyDescent="0.25">
      <c r="L70" s="11" t="s">
        <v>1801</v>
      </c>
      <c r="M70" s="11">
        <v>0</v>
      </c>
      <c r="Q70" s="58"/>
      <c r="R70" s="66"/>
      <c r="S70" s="80"/>
      <c r="T70" s="81"/>
      <c r="U70" s="65">
        <v>0.3</v>
      </c>
      <c r="V70" s="58"/>
    </row>
    <row r="71" spans="9:23" ht="13.9" hidden="1" customHeight="1" x14ac:dyDescent="0.2">
      <c r="I71" s="11" t="s">
        <v>159</v>
      </c>
      <c r="J71" s="11" t="s">
        <v>160</v>
      </c>
      <c r="K71" s="11" t="s">
        <v>161</v>
      </c>
      <c r="L71" s="62" t="s">
        <v>162</v>
      </c>
      <c r="M71" s="11" t="s">
        <v>158</v>
      </c>
      <c r="N71" s="11" t="s">
        <v>163</v>
      </c>
      <c r="O71" s="11" t="s">
        <v>164</v>
      </c>
      <c r="Q71" s="58"/>
      <c r="R71" s="59"/>
      <c r="S71" s="58"/>
      <c r="U71" s="84"/>
      <c r="V71" s="60">
        <v>30</v>
      </c>
      <c r="W71" s="1959">
        <v>0.75</v>
      </c>
    </row>
    <row r="72" spans="9:23" ht="13.9" hidden="1" customHeight="1" x14ac:dyDescent="0.2">
      <c r="I72" s="11">
        <v>4</v>
      </c>
      <c r="J72" s="11">
        <v>1</v>
      </c>
      <c r="K72" s="87" t="s">
        <v>165</v>
      </c>
      <c r="L72" s="88">
        <v>0.3</v>
      </c>
      <c r="M72" s="87">
        <v>0.2</v>
      </c>
      <c r="N72" s="87"/>
      <c r="O72" s="87">
        <v>0.7</v>
      </c>
      <c r="Q72" s="67"/>
      <c r="R72" s="59"/>
      <c r="S72" s="58"/>
      <c r="U72" s="84"/>
      <c r="V72" s="65"/>
      <c r="W72" s="1960"/>
    </row>
    <row r="73" spans="9:23" ht="13.9" hidden="1" customHeight="1" x14ac:dyDescent="0.2">
      <c r="I73" s="11">
        <v>8</v>
      </c>
      <c r="J73" s="11">
        <v>7</v>
      </c>
      <c r="K73" s="87" t="s">
        <v>166</v>
      </c>
      <c r="L73" s="90">
        <v>0.25</v>
      </c>
      <c r="M73" s="87">
        <v>0.25</v>
      </c>
      <c r="N73" s="87"/>
      <c r="O73" s="87">
        <v>0.75</v>
      </c>
      <c r="Q73" s="91"/>
      <c r="R73" s="59"/>
      <c r="S73" s="58"/>
      <c r="U73" s="84"/>
      <c r="V73" s="65"/>
      <c r="W73" s="1960"/>
    </row>
    <row r="74" spans="9:23" ht="13.9" hidden="1" customHeight="1" x14ac:dyDescent="0.2">
      <c r="I74" s="11">
        <v>12</v>
      </c>
      <c r="J74" s="11">
        <v>10</v>
      </c>
      <c r="K74" s="87" t="s">
        <v>167</v>
      </c>
      <c r="L74" s="88">
        <v>0.2</v>
      </c>
      <c r="M74" s="87">
        <v>0.3</v>
      </c>
      <c r="N74" s="87"/>
      <c r="O74" s="87">
        <v>0.8</v>
      </c>
      <c r="Q74" s="67"/>
      <c r="R74" s="59"/>
      <c r="S74" s="58"/>
      <c r="U74" s="84"/>
      <c r="V74" s="65"/>
      <c r="W74" s="1960"/>
    </row>
    <row r="75" spans="9:23" ht="13.9" hidden="1" customHeight="1" thickBot="1" x14ac:dyDescent="0.25">
      <c r="Q75" s="58"/>
      <c r="R75" s="59"/>
      <c r="S75" s="58"/>
      <c r="T75" s="81"/>
      <c r="U75" s="84"/>
      <c r="V75" s="65"/>
      <c r="W75" s="1961"/>
    </row>
    <row r="76" spans="9:23" ht="13.9" hidden="1" customHeight="1" thickBot="1" x14ac:dyDescent="0.25">
      <c r="Q76" s="93">
        <v>7.4999999999999997E-2</v>
      </c>
      <c r="R76" s="94"/>
      <c r="S76" s="1962">
        <v>7.5</v>
      </c>
      <c r="T76" s="1962"/>
      <c r="U76" s="94"/>
      <c r="V76" s="95">
        <v>7.5</v>
      </c>
      <c r="W76" s="96">
        <v>0.25</v>
      </c>
    </row>
    <row r="77" spans="9:23" ht="13.9" hidden="1" customHeight="1" x14ac:dyDescent="0.2"/>
    <row r="78" spans="9:23" ht="13.9" hidden="1" customHeight="1" x14ac:dyDescent="0.2"/>
    <row r="79" spans="9:23" ht="13.9" hidden="1" customHeight="1" x14ac:dyDescent="0.2"/>
    <row r="80" spans="9:23" ht="13.9" hidden="1" customHeight="1" x14ac:dyDescent="0.2"/>
    <row r="81" ht="13.9" hidden="1" customHeight="1" x14ac:dyDescent="0.2"/>
    <row r="82" ht="13.9" hidden="1" customHeight="1" x14ac:dyDescent="0.2"/>
    <row r="83" ht="13.9" hidden="1" customHeight="1" x14ac:dyDescent="0.2"/>
    <row r="84" ht="13.9" hidden="1" customHeight="1" x14ac:dyDescent="0.2"/>
    <row r="85" ht="13.9" hidden="1" customHeight="1" x14ac:dyDescent="0.2"/>
    <row r="86" ht="13.9" hidden="1" customHeight="1" x14ac:dyDescent="0.2"/>
  </sheetData>
  <sheetProtection algorithmName="SHA-512" hashValue="k9HD6TWwO3cnBhvU6cSvdAb2+xhaBKp6WhajFOlE/HyFA+7EhdZsyaeEYBM7H4Z47pLqebojuikrQLhpYyh55A==" saltValue="wBkTgzAbtmItpxNz/p3jvQ==" spinCount="100000" sheet="1" objects="1" scenarios="1" formatColumns="0"/>
  <dataConsolidate/>
  <mergeCells count="35">
    <mergeCell ref="B32:F32"/>
    <mergeCell ref="W71:W75"/>
    <mergeCell ref="S76:T76"/>
    <mergeCell ref="B61:F61"/>
    <mergeCell ref="B60:F60"/>
    <mergeCell ref="B50:F50"/>
    <mergeCell ref="B51:F51"/>
    <mergeCell ref="B56:F57"/>
    <mergeCell ref="B58:F58"/>
    <mergeCell ref="B33:F33"/>
    <mergeCell ref="B34:F34"/>
    <mergeCell ref="B31:F31"/>
    <mergeCell ref="C30:D30"/>
    <mergeCell ref="B19:C19"/>
    <mergeCell ref="B28:B29"/>
    <mergeCell ref="F28:F29"/>
    <mergeCell ref="E28:E29"/>
    <mergeCell ref="B26:F27"/>
    <mergeCell ref="C28:D29"/>
    <mergeCell ref="B21:D21"/>
    <mergeCell ref="C22:E22"/>
    <mergeCell ref="A1:B1"/>
    <mergeCell ref="C1:E1"/>
    <mergeCell ref="A2:F2"/>
    <mergeCell ref="B10:F10"/>
    <mergeCell ref="C4:F4"/>
    <mergeCell ref="C6:D6"/>
    <mergeCell ref="C7:D7"/>
    <mergeCell ref="C8:D8"/>
    <mergeCell ref="B17:C17"/>
    <mergeCell ref="B18:C18"/>
    <mergeCell ref="B15:C15"/>
    <mergeCell ref="B16:C16"/>
    <mergeCell ref="C5:F5"/>
    <mergeCell ref="B14:C14"/>
  </mergeCells>
  <conditionalFormatting sqref="B24">
    <cfRule type="cellIs" dxfId="82" priority="1" operator="equal">
      <formula>"BAJO"</formula>
    </cfRule>
    <cfRule type="cellIs" dxfId="81" priority="2" operator="equal">
      <formula>"MEDIO"</formula>
    </cfRule>
    <cfRule type="cellIs" dxfId="80" priority="3" operator="equal">
      <formula>"ALTO"</formula>
    </cfRule>
  </conditionalFormatting>
  <dataValidations disablePrompts="1" count="6">
    <dataValidation type="list" showInputMessage="1" showErrorMessage="1" sqref="B54">
      <formula1>#REF!</formula1>
    </dataValidation>
    <dataValidation type="list" allowBlank="1" showInputMessage="1" showErrorMessage="1" sqref="E24">
      <formula1>$L$66:$L$70</formula1>
    </dataValidation>
    <dataValidation type="list" allowBlank="1" showInputMessage="1" showErrorMessage="1" sqref="D24">
      <formula1>$L$58:$L$61</formula1>
    </dataValidation>
    <dataValidation type="list" allowBlank="1" showInputMessage="1" showErrorMessage="1" sqref="F24">
      <formula1>$I$66:$I$69</formula1>
    </dataValidation>
    <dataValidation type="list" allowBlank="1" showInputMessage="1" showErrorMessage="1" sqref="C24">
      <formula1>$I$58:$I$62</formula1>
    </dataValidation>
    <dataValidation operator="greaterThan" allowBlank="1" showInputMessage="1" showErrorMessage="1" sqref="B15:B21"/>
  </dataValidations>
  <pageMargins left="0.7" right="0.7" top="0.75" bottom="0.75" header="0.3" footer="0.3"/>
  <pageSetup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71" r:id="rId4" name="Check Box 23">
              <controlPr locked="0" defaultSize="0" autoFill="0" autoLine="0" autoPict="0">
                <anchor moveWithCells="1">
                  <from>
                    <xdr:col>1</xdr:col>
                    <xdr:colOff>381000</xdr:colOff>
                    <xdr:row>14</xdr:row>
                    <xdr:rowOff>19050</xdr:rowOff>
                  </from>
                  <to>
                    <xdr:col>2</xdr:col>
                    <xdr:colOff>2057400</xdr:colOff>
                    <xdr:row>14</xdr:row>
                    <xdr:rowOff>371475</xdr:rowOff>
                  </to>
                </anchor>
              </controlPr>
            </control>
          </mc:Choice>
        </mc:AlternateContent>
        <mc:AlternateContent xmlns:mc="http://schemas.openxmlformats.org/markup-compatibility/2006">
          <mc:Choice Requires="x14">
            <control shapeId="2072" r:id="rId5" name="Check Box 24">
              <controlPr locked="0" defaultSize="0" autoFill="0" autoLine="0" autoPict="0">
                <anchor moveWithCells="1">
                  <from>
                    <xdr:col>1</xdr:col>
                    <xdr:colOff>381000</xdr:colOff>
                    <xdr:row>15</xdr:row>
                    <xdr:rowOff>19050</xdr:rowOff>
                  </from>
                  <to>
                    <xdr:col>2</xdr:col>
                    <xdr:colOff>1819275</xdr:colOff>
                    <xdr:row>16</xdr:row>
                    <xdr:rowOff>0</xdr:rowOff>
                  </to>
                </anchor>
              </controlPr>
            </control>
          </mc:Choice>
        </mc:AlternateContent>
        <mc:AlternateContent xmlns:mc="http://schemas.openxmlformats.org/markup-compatibility/2006">
          <mc:Choice Requires="x14">
            <control shapeId="2073" r:id="rId6" name="Check Box 25">
              <controlPr locked="0" defaultSize="0" autoFill="0" autoLine="0" autoPict="0">
                <anchor moveWithCells="1">
                  <from>
                    <xdr:col>1</xdr:col>
                    <xdr:colOff>381000</xdr:colOff>
                    <xdr:row>16</xdr:row>
                    <xdr:rowOff>19050</xdr:rowOff>
                  </from>
                  <to>
                    <xdr:col>2</xdr:col>
                    <xdr:colOff>1819275</xdr:colOff>
                    <xdr:row>17</xdr:row>
                    <xdr:rowOff>0</xdr:rowOff>
                  </to>
                </anchor>
              </controlPr>
            </control>
          </mc:Choice>
        </mc:AlternateContent>
        <mc:AlternateContent xmlns:mc="http://schemas.openxmlformats.org/markup-compatibility/2006">
          <mc:Choice Requires="x14">
            <control shapeId="2074" r:id="rId7" name="Check Box 26">
              <controlPr locked="0" defaultSize="0" autoFill="0" autoLine="0" autoPict="0">
                <anchor moveWithCells="1">
                  <from>
                    <xdr:col>1</xdr:col>
                    <xdr:colOff>381000</xdr:colOff>
                    <xdr:row>17</xdr:row>
                    <xdr:rowOff>19050</xdr:rowOff>
                  </from>
                  <to>
                    <xdr:col>2</xdr:col>
                    <xdr:colOff>1819275</xdr:colOff>
                    <xdr:row>18</xdr:row>
                    <xdr:rowOff>0</xdr:rowOff>
                  </to>
                </anchor>
              </controlPr>
            </control>
          </mc:Choice>
        </mc:AlternateContent>
      </controls>
    </mc:Choice>
  </mc:AlternateContent>
  <tableParts count="5">
    <tablePart r:id="rId8"/>
    <tablePart r:id="rId9"/>
    <tablePart r:id="rId10"/>
    <tablePart r:id="rId11"/>
    <tablePart r:id="rId12"/>
  </tableParts>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A65524"/>
  <sheetViews>
    <sheetView zoomScaleNormal="100" workbookViewId="0">
      <selection activeCell="E72" sqref="E72"/>
    </sheetView>
  </sheetViews>
  <sheetFormatPr baseColWidth="10" defaultColWidth="11.42578125" defaultRowHeight="14.25" x14ac:dyDescent="0.25"/>
  <cols>
    <col min="1" max="1" width="34.42578125" style="104" customWidth="1"/>
    <col min="2" max="2" width="47.5703125" style="104" customWidth="1"/>
    <col min="3" max="3" width="22.42578125" style="190" bestFit="1" customWidth="1"/>
    <col min="4" max="4" width="52.42578125" style="104" customWidth="1"/>
    <col min="5" max="18" width="30.7109375" style="58" customWidth="1"/>
    <col min="19" max="57" width="30.7109375" style="103" customWidth="1"/>
    <col min="58" max="102" width="30.7109375" style="104" customWidth="1"/>
    <col min="103" max="103" width="34.42578125" style="104" customWidth="1"/>
    <col min="104" max="104" width="19.42578125" style="104" customWidth="1"/>
    <col min="105" max="16384" width="11.42578125" style="104"/>
  </cols>
  <sheetData>
    <row r="1" spans="1:103" ht="85.5" customHeight="1" x14ac:dyDescent="0.2">
      <c r="A1" s="102"/>
      <c r="B1" s="1940" t="s">
        <v>1862</v>
      </c>
      <c r="C1" s="1940"/>
      <c r="D1" s="1940"/>
      <c r="E1" s="1940"/>
      <c r="F1" s="1940"/>
      <c r="G1" s="1940"/>
      <c r="H1" s="1940"/>
      <c r="I1" s="1940"/>
      <c r="J1" s="1940"/>
      <c r="K1" s="1940"/>
      <c r="L1" s="1940"/>
      <c r="M1" s="1940"/>
      <c r="N1" s="1940"/>
      <c r="O1" s="1940"/>
      <c r="P1" s="1940"/>
      <c r="Q1" s="1940"/>
      <c r="R1" s="1940"/>
      <c r="S1" s="1940"/>
      <c r="T1" s="1940"/>
      <c r="U1" s="1940"/>
      <c r="V1" s="1940"/>
      <c r="W1" s="1940"/>
      <c r="X1" s="1940"/>
      <c r="Y1" s="1940"/>
      <c r="Z1" s="1940"/>
      <c r="AA1" s="1940"/>
      <c r="AB1" s="1940"/>
      <c r="AC1" s="1940"/>
      <c r="AD1" s="1940"/>
      <c r="AE1" s="1940"/>
      <c r="AF1" s="1940"/>
      <c r="AG1" s="1940"/>
      <c r="AH1" s="1940"/>
      <c r="AI1" s="1940"/>
      <c r="AJ1" s="1940"/>
      <c r="AK1" s="1940"/>
      <c r="AL1" s="1940"/>
      <c r="AM1" s="1940"/>
      <c r="AN1" s="1940"/>
      <c r="AO1" s="1940"/>
      <c r="AP1" s="1940"/>
      <c r="AQ1" s="1940"/>
      <c r="AR1" s="1940"/>
      <c r="AS1" s="1940"/>
      <c r="AT1" s="1940"/>
      <c r="AU1" s="1940"/>
      <c r="AV1" s="1940"/>
      <c r="AW1" s="1940"/>
      <c r="AX1" s="1940"/>
      <c r="AY1" s="1940"/>
      <c r="AZ1" s="1940"/>
      <c r="BA1" s="1940"/>
      <c r="BB1" s="1940"/>
      <c r="BC1" s="1940"/>
      <c r="BD1" s="1940"/>
      <c r="BE1" s="1940"/>
      <c r="BF1" s="1940"/>
      <c r="BG1" s="1940"/>
      <c r="BH1" s="1940"/>
      <c r="BI1" s="1940"/>
      <c r="BJ1" s="1940"/>
      <c r="BK1" s="1940"/>
      <c r="BL1" s="1940"/>
      <c r="BM1" s="1940"/>
      <c r="BN1" s="1940"/>
      <c r="BO1" s="1940"/>
      <c r="BP1" s="1940"/>
      <c r="BQ1" s="1940"/>
      <c r="BR1" s="1940"/>
      <c r="BS1" s="1940"/>
      <c r="BT1" s="1940"/>
      <c r="BU1" s="1940"/>
      <c r="BV1" s="1940"/>
      <c r="BW1" s="1940"/>
      <c r="BX1" s="1940"/>
      <c r="BY1" s="1940"/>
      <c r="BZ1" s="1940"/>
      <c r="CA1" s="1940"/>
      <c r="CB1" s="1940"/>
      <c r="CC1" s="1940"/>
      <c r="CD1" s="1940"/>
      <c r="CE1" s="1940"/>
      <c r="CF1" s="1940"/>
      <c r="CG1" s="1940"/>
      <c r="CH1" s="1940"/>
      <c r="CI1" s="1940"/>
      <c r="CJ1" s="1940"/>
      <c r="CK1" s="1940"/>
      <c r="CL1" s="1940"/>
      <c r="CM1" s="1940"/>
      <c r="CN1" s="1940"/>
      <c r="CO1" s="1940"/>
      <c r="CP1" s="1940"/>
      <c r="CQ1" s="1940"/>
      <c r="CR1" s="1940"/>
      <c r="CS1" s="1940"/>
      <c r="CT1" s="1940"/>
      <c r="CU1" s="1940"/>
      <c r="CV1" s="1940"/>
      <c r="CW1" s="1940"/>
      <c r="CX1" s="1940"/>
      <c r="CY1" s="1268" t="s">
        <v>1863</v>
      </c>
    </row>
    <row r="2" spans="1:103" ht="22.5" customHeight="1" thickBot="1" x14ac:dyDescent="0.3">
      <c r="A2" s="2007"/>
      <c r="B2" s="2008"/>
      <c r="C2" s="2008"/>
      <c r="D2" s="2009"/>
      <c r="E2" s="194"/>
      <c r="F2" s="105"/>
      <c r="G2" s="106"/>
      <c r="H2" s="105"/>
      <c r="I2" s="105"/>
    </row>
    <row r="3" spans="1:103" s="1" customFormat="1" ht="30" customHeight="1" thickBot="1" x14ac:dyDescent="0.3">
      <c r="A3" s="1246" t="s">
        <v>168</v>
      </c>
      <c r="B3" s="2010" t="str">
        <f>+'MATERIALIDAD GASTO PÚBLICO'!C5</f>
        <v>208 - Caja de Vivienda Popular – CVP</v>
      </c>
      <c r="C3" s="2011"/>
      <c r="D3" s="1247" t="s">
        <v>169</v>
      </c>
      <c r="E3" s="197">
        <v>1</v>
      </c>
      <c r="F3" s="198">
        <v>2</v>
      </c>
      <c r="G3" s="197">
        <v>3</v>
      </c>
      <c r="H3" s="198">
        <v>4</v>
      </c>
      <c r="I3" s="197">
        <v>5</v>
      </c>
      <c r="J3" s="198">
        <v>6</v>
      </c>
      <c r="K3" s="197">
        <v>7</v>
      </c>
      <c r="L3" s="198">
        <v>8</v>
      </c>
      <c r="M3" s="197">
        <v>9</v>
      </c>
      <c r="N3" s="198">
        <v>10</v>
      </c>
      <c r="O3" s="197">
        <v>11</v>
      </c>
      <c r="P3" s="198">
        <v>12</v>
      </c>
      <c r="Q3" s="197">
        <v>13</v>
      </c>
      <c r="R3" s="198">
        <v>14</v>
      </c>
      <c r="S3" s="197">
        <v>15</v>
      </c>
      <c r="T3" s="198">
        <v>16</v>
      </c>
      <c r="U3" s="197">
        <v>17</v>
      </c>
      <c r="V3" s="198">
        <v>18</v>
      </c>
      <c r="W3" s="197">
        <v>19</v>
      </c>
      <c r="X3" s="198">
        <v>20</v>
      </c>
      <c r="Y3" s="197">
        <v>21</v>
      </c>
      <c r="Z3" s="198">
        <v>22</v>
      </c>
      <c r="AA3" s="197">
        <v>23</v>
      </c>
      <c r="AB3" s="198">
        <v>24</v>
      </c>
      <c r="AC3" s="197">
        <v>25</v>
      </c>
      <c r="AD3" s="198">
        <v>26</v>
      </c>
      <c r="AE3" s="197">
        <v>27</v>
      </c>
      <c r="AF3" s="198">
        <v>28</v>
      </c>
      <c r="AG3" s="197">
        <v>29</v>
      </c>
      <c r="AH3" s="198">
        <v>30</v>
      </c>
      <c r="AI3" s="197">
        <v>31</v>
      </c>
      <c r="AJ3" s="198">
        <v>32</v>
      </c>
      <c r="AK3" s="197">
        <v>33</v>
      </c>
      <c r="AL3" s="198">
        <v>34</v>
      </c>
      <c r="AM3" s="197">
        <v>35</v>
      </c>
      <c r="AN3" s="198">
        <v>36</v>
      </c>
      <c r="AO3" s="197">
        <v>37</v>
      </c>
      <c r="AP3" s="198">
        <v>38</v>
      </c>
      <c r="AQ3" s="197">
        <v>39</v>
      </c>
      <c r="AR3" s="198">
        <v>40</v>
      </c>
      <c r="AS3" s="197">
        <v>41</v>
      </c>
      <c r="AT3" s="198">
        <v>42</v>
      </c>
      <c r="AU3" s="197">
        <v>43</v>
      </c>
      <c r="AV3" s="198">
        <v>44</v>
      </c>
      <c r="AW3" s="197">
        <v>45</v>
      </c>
      <c r="AX3" s="198">
        <v>46</v>
      </c>
      <c r="AY3" s="197">
        <v>47</v>
      </c>
      <c r="AZ3" s="198">
        <v>48</v>
      </c>
      <c r="BA3" s="197">
        <v>49</v>
      </c>
      <c r="BB3" s="198">
        <v>50</v>
      </c>
      <c r="BC3" s="197">
        <v>51</v>
      </c>
      <c r="BD3" s="198">
        <v>52</v>
      </c>
      <c r="BE3" s="197">
        <v>53</v>
      </c>
      <c r="BF3" s="198">
        <v>54</v>
      </c>
      <c r="BG3" s="197">
        <v>55</v>
      </c>
      <c r="BH3" s="198">
        <v>56</v>
      </c>
      <c r="BI3" s="197">
        <v>57</v>
      </c>
      <c r="BJ3" s="198">
        <v>58</v>
      </c>
      <c r="BK3" s="197">
        <v>59</v>
      </c>
      <c r="BL3" s="198">
        <v>60</v>
      </c>
      <c r="BM3" s="197">
        <v>61</v>
      </c>
      <c r="BN3" s="198">
        <v>62</v>
      </c>
      <c r="BO3" s="197">
        <v>63</v>
      </c>
      <c r="BP3" s="198">
        <v>64</v>
      </c>
      <c r="BQ3" s="197">
        <v>65</v>
      </c>
      <c r="BR3" s="198">
        <v>66</v>
      </c>
      <c r="BS3" s="197">
        <v>67</v>
      </c>
      <c r="BT3" s="198">
        <v>68</v>
      </c>
      <c r="BU3" s="197">
        <v>69</v>
      </c>
      <c r="BV3" s="198">
        <v>70</v>
      </c>
      <c r="BW3" s="197">
        <v>71</v>
      </c>
      <c r="BX3" s="198">
        <v>72</v>
      </c>
      <c r="BY3" s="197">
        <v>73</v>
      </c>
      <c r="BZ3" s="198">
        <v>74</v>
      </c>
      <c r="CA3" s="197">
        <v>75</v>
      </c>
      <c r="CB3" s="198">
        <v>76</v>
      </c>
      <c r="CC3" s="197">
        <v>77</v>
      </c>
      <c r="CD3" s="198">
        <v>78</v>
      </c>
      <c r="CE3" s="197">
        <v>79</v>
      </c>
      <c r="CF3" s="198">
        <v>80</v>
      </c>
      <c r="CG3" s="197">
        <v>81</v>
      </c>
      <c r="CH3" s="198">
        <v>82</v>
      </c>
      <c r="CI3" s="197">
        <v>83</v>
      </c>
      <c r="CJ3" s="198">
        <v>84</v>
      </c>
      <c r="CK3" s="197">
        <v>85</v>
      </c>
      <c r="CL3" s="198">
        <v>86</v>
      </c>
      <c r="CM3" s="197">
        <v>87</v>
      </c>
      <c r="CN3" s="198">
        <v>88</v>
      </c>
      <c r="CO3" s="197">
        <v>89</v>
      </c>
      <c r="CP3" s="198">
        <v>90</v>
      </c>
      <c r="CQ3" s="197">
        <v>91</v>
      </c>
      <c r="CR3" s="198">
        <v>92</v>
      </c>
      <c r="CS3" s="197">
        <v>93</v>
      </c>
      <c r="CT3" s="198">
        <v>94</v>
      </c>
      <c r="CU3" s="197">
        <v>95</v>
      </c>
      <c r="CV3" s="198">
        <v>96</v>
      </c>
      <c r="CW3" s="197">
        <v>97</v>
      </c>
      <c r="CX3" s="198">
        <v>98</v>
      </c>
      <c r="CY3" s="1244">
        <v>99</v>
      </c>
    </row>
    <row r="4" spans="1:103" s="2" customFormat="1" ht="30" customHeight="1" x14ac:dyDescent="0.25">
      <c r="A4" s="1264" t="s">
        <v>1782</v>
      </c>
      <c r="B4" s="2012">
        <f>+'MATERIALIDAD GASTO PÚBLICO'!C6</f>
        <v>2025</v>
      </c>
      <c r="C4" s="2013"/>
      <c r="D4" s="1248" t="s">
        <v>170</v>
      </c>
      <c r="E4" s="107" t="s">
        <v>458</v>
      </c>
      <c r="F4" s="108"/>
      <c r="G4" s="108"/>
      <c r="H4" s="108"/>
      <c r="I4" s="108"/>
      <c r="J4" s="109"/>
      <c r="K4" s="109"/>
      <c r="L4" s="109"/>
      <c r="M4" s="109"/>
      <c r="N4" s="109"/>
      <c r="O4" s="109"/>
      <c r="P4" s="109"/>
      <c r="Q4" s="109"/>
      <c r="R4" s="109"/>
      <c r="S4" s="109"/>
      <c r="T4" s="109"/>
      <c r="U4" s="109"/>
      <c r="V4" s="109"/>
      <c r="W4" s="109"/>
      <c r="X4" s="109"/>
      <c r="Y4" s="109"/>
      <c r="Z4" s="109"/>
      <c r="AA4" s="109"/>
      <c r="AB4" s="109"/>
      <c r="AC4" s="109"/>
      <c r="AD4" s="109"/>
      <c r="AE4" s="109"/>
      <c r="AF4" s="109"/>
      <c r="AG4" s="109"/>
      <c r="AH4" s="109"/>
      <c r="AI4" s="109"/>
      <c r="AJ4" s="109"/>
      <c r="AK4" s="109"/>
      <c r="AL4" s="109"/>
      <c r="AM4" s="109"/>
      <c r="AN4" s="109"/>
      <c r="AO4" s="109"/>
      <c r="AP4" s="109"/>
      <c r="AQ4" s="109"/>
      <c r="AR4" s="109"/>
      <c r="AS4" s="109"/>
      <c r="AT4" s="109"/>
      <c r="AU4" s="109"/>
      <c r="AV4" s="109"/>
      <c r="AW4" s="109"/>
      <c r="AX4" s="109"/>
      <c r="AY4" s="109"/>
      <c r="AZ4" s="109"/>
      <c r="BA4" s="109"/>
      <c r="BB4" s="109"/>
      <c r="BC4" s="109"/>
      <c r="BD4" s="109"/>
      <c r="BE4" s="109"/>
      <c r="BF4" s="109"/>
      <c r="BG4" s="109"/>
      <c r="BH4" s="109"/>
      <c r="BI4" s="109"/>
      <c r="BJ4" s="109"/>
      <c r="BK4" s="109"/>
      <c r="BL4" s="109"/>
      <c r="BM4" s="109"/>
      <c r="BN4" s="109"/>
      <c r="BO4" s="109"/>
      <c r="BP4" s="109"/>
      <c r="BQ4" s="109"/>
      <c r="BR4" s="109"/>
      <c r="BS4" s="109"/>
      <c r="BT4" s="109"/>
      <c r="BU4" s="109"/>
      <c r="BV4" s="109"/>
      <c r="BW4" s="109"/>
      <c r="BX4" s="109"/>
      <c r="BY4" s="109"/>
      <c r="BZ4" s="109"/>
      <c r="CA4" s="109"/>
      <c r="CB4" s="109"/>
      <c r="CC4" s="109"/>
      <c r="CD4" s="109"/>
      <c r="CE4" s="109"/>
      <c r="CF4" s="109"/>
      <c r="CG4" s="109"/>
      <c r="CH4" s="109"/>
      <c r="CI4" s="109"/>
      <c r="CJ4" s="109"/>
      <c r="CK4" s="109"/>
      <c r="CL4" s="109"/>
      <c r="CM4" s="109"/>
      <c r="CN4" s="109"/>
      <c r="CO4" s="109"/>
      <c r="CP4" s="109"/>
      <c r="CQ4" s="109"/>
      <c r="CR4" s="109"/>
      <c r="CS4" s="109"/>
      <c r="CT4" s="109"/>
      <c r="CU4" s="109"/>
      <c r="CV4" s="109"/>
      <c r="CW4" s="109"/>
      <c r="CX4" s="109"/>
      <c r="CY4" s="110"/>
    </row>
    <row r="5" spans="1:103" s="2" customFormat="1" ht="30" customHeight="1" x14ac:dyDescent="0.25">
      <c r="A5" s="1265" t="s">
        <v>463</v>
      </c>
      <c r="B5" s="2014">
        <f>+'MATERIALIDAD GASTO PÚBLICO'!C7</f>
        <v>56</v>
      </c>
      <c r="C5" s="2015"/>
      <c r="D5" s="1249" t="s">
        <v>172</v>
      </c>
      <c r="E5" s="111"/>
      <c r="F5" s="112"/>
      <c r="G5" s="112"/>
      <c r="H5" s="112"/>
      <c r="I5" s="112"/>
      <c r="J5" s="112"/>
      <c r="K5" s="112"/>
      <c r="L5" s="112"/>
      <c r="M5" s="112"/>
      <c r="N5" s="112"/>
      <c r="O5" s="112"/>
      <c r="P5" s="112"/>
      <c r="Q5" s="112"/>
      <c r="R5" s="112"/>
      <c r="S5" s="112"/>
      <c r="T5" s="112"/>
      <c r="U5" s="112"/>
      <c r="V5" s="112"/>
      <c r="W5" s="112"/>
      <c r="X5" s="112"/>
      <c r="Y5" s="112"/>
      <c r="Z5" s="112"/>
      <c r="AA5" s="112"/>
      <c r="AB5" s="112"/>
      <c r="AC5" s="112"/>
      <c r="AD5" s="112"/>
      <c r="AE5" s="112"/>
      <c r="AF5" s="112"/>
      <c r="AG5" s="112"/>
      <c r="AH5" s="112"/>
      <c r="AI5" s="112"/>
      <c r="AJ5" s="112"/>
      <c r="AK5" s="112"/>
      <c r="AL5" s="112"/>
      <c r="AM5" s="112"/>
      <c r="AN5" s="112"/>
      <c r="AO5" s="112"/>
      <c r="AP5" s="112"/>
      <c r="AQ5" s="112"/>
      <c r="AR5" s="112"/>
      <c r="AS5" s="112"/>
      <c r="AT5" s="112"/>
      <c r="AU5" s="112"/>
      <c r="AV5" s="112"/>
      <c r="AW5" s="112"/>
      <c r="AX5" s="112"/>
      <c r="AY5" s="112"/>
      <c r="AZ5" s="112"/>
      <c r="BA5" s="112"/>
      <c r="BB5" s="112"/>
      <c r="BC5" s="112"/>
      <c r="BD5" s="112"/>
      <c r="BE5" s="112"/>
      <c r="BF5" s="112"/>
      <c r="BG5" s="112"/>
      <c r="BH5" s="112"/>
      <c r="BI5" s="112"/>
      <c r="BJ5" s="112"/>
      <c r="BK5" s="112"/>
      <c r="BL5" s="112"/>
      <c r="BM5" s="112"/>
      <c r="BN5" s="112"/>
      <c r="BO5" s="112"/>
      <c r="BP5" s="112"/>
      <c r="BQ5" s="112"/>
      <c r="BR5" s="112"/>
      <c r="BS5" s="112"/>
      <c r="BT5" s="112"/>
      <c r="BU5" s="112"/>
      <c r="BV5" s="112"/>
      <c r="BW5" s="112"/>
      <c r="BX5" s="112"/>
      <c r="BY5" s="112"/>
      <c r="BZ5" s="112"/>
      <c r="CA5" s="112"/>
      <c r="CB5" s="112"/>
      <c r="CC5" s="112"/>
      <c r="CD5" s="112"/>
      <c r="CE5" s="112"/>
      <c r="CF5" s="112"/>
      <c r="CG5" s="112"/>
      <c r="CH5" s="112"/>
      <c r="CI5" s="112"/>
      <c r="CJ5" s="112"/>
      <c r="CK5" s="112"/>
      <c r="CL5" s="112"/>
      <c r="CM5" s="112"/>
      <c r="CN5" s="112"/>
      <c r="CO5" s="112"/>
      <c r="CP5" s="112"/>
      <c r="CQ5" s="112"/>
      <c r="CR5" s="112"/>
      <c r="CS5" s="112"/>
      <c r="CT5" s="112"/>
      <c r="CU5" s="112"/>
      <c r="CV5" s="112"/>
      <c r="CW5" s="112"/>
      <c r="CX5" s="112"/>
      <c r="CY5" s="113"/>
    </row>
    <row r="6" spans="1:103" s="2" customFormat="1" ht="30" customHeight="1" x14ac:dyDescent="0.25">
      <c r="A6" s="1265" t="s">
        <v>462</v>
      </c>
      <c r="B6" s="2014">
        <f>+'MATERIALIDAD GASTO PÚBLICO'!F6</f>
        <v>2024</v>
      </c>
      <c r="C6" s="2016"/>
      <c r="D6" s="1249" t="s">
        <v>173</v>
      </c>
      <c r="E6" s="114" t="s">
        <v>282</v>
      </c>
      <c r="F6" s="114"/>
      <c r="G6" s="114"/>
      <c r="H6" s="114"/>
      <c r="I6" s="114"/>
      <c r="J6" s="114"/>
      <c r="K6" s="114"/>
      <c r="L6" s="114"/>
      <c r="M6" s="114"/>
      <c r="N6" s="114"/>
      <c r="O6" s="114"/>
      <c r="P6" s="114"/>
      <c r="Q6" s="114"/>
      <c r="R6" s="114"/>
      <c r="S6" s="114"/>
      <c r="T6" s="114"/>
      <c r="U6" s="114"/>
      <c r="V6" s="114"/>
      <c r="W6" s="114"/>
      <c r="X6" s="114"/>
      <c r="Y6" s="114"/>
      <c r="Z6" s="114"/>
      <c r="AA6" s="114"/>
      <c r="AB6" s="114"/>
      <c r="AC6" s="114"/>
      <c r="AD6" s="114"/>
      <c r="AE6" s="114"/>
      <c r="AF6" s="114"/>
      <c r="AG6" s="114"/>
      <c r="AH6" s="114"/>
      <c r="AI6" s="114"/>
      <c r="AJ6" s="114"/>
      <c r="AK6" s="114"/>
      <c r="AL6" s="114"/>
      <c r="AM6" s="114"/>
      <c r="AN6" s="114"/>
      <c r="AO6" s="114"/>
      <c r="AP6" s="114"/>
      <c r="AQ6" s="114"/>
      <c r="AR6" s="114"/>
      <c r="AS6" s="114"/>
      <c r="AT6" s="114"/>
      <c r="AU6" s="114"/>
      <c r="AV6" s="114"/>
      <c r="AW6" s="114"/>
      <c r="AX6" s="114"/>
      <c r="AY6" s="114"/>
      <c r="AZ6" s="114"/>
      <c r="BA6" s="114"/>
      <c r="BB6" s="114"/>
      <c r="BC6" s="114"/>
      <c r="BD6" s="114"/>
      <c r="BE6" s="114"/>
      <c r="BF6" s="114"/>
      <c r="BG6" s="114"/>
      <c r="BH6" s="114"/>
      <c r="BI6" s="114"/>
      <c r="BJ6" s="114"/>
      <c r="BK6" s="114"/>
      <c r="BL6" s="114"/>
      <c r="BM6" s="114"/>
      <c r="BN6" s="114"/>
      <c r="BO6" s="114"/>
      <c r="BP6" s="114"/>
      <c r="BQ6" s="114"/>
      <c r="BR6" s="114"/>
      <c r="BS6" s="114"/>
      <c r="BT6" s="114"/>
      <c r="BU6" s="114"/>
      <c r="BV6" s="114"/>
      <c r="BW6" s="114"/>
      <c r="BX6" s="114"/>
      <c r="BY6" s="114"/>
      <c r="BZ6" s="114"/>
      <c r="CA6" s="114"/>
      <c r="CB6" s="114"/>
      <c r="CC6" s="114"/>
      <c r="CD6" s="114"/>
      <c r="CE6" s="114"/>
      <c r="CF6" s="114"/>
      <c r="CG6" s="114"/>
      <c r="CH6" s="114"/>
      <c r="CI6" s="114"/>
      <c r="CJ6" s="114"/>
      <c r="CK6" s="114"/>
      <c r="CL6" s="114"/>
      <c r="CM6" s="114"/>
      <c r="CN6" s="114"/>
      <c r="CO6" s="114"/>
      <c r="CP6" s="114"/>
      <c r="CQ6" s="114"/>
      <c r="CR6" s="114"/>
      <c r="CS6" s="114"/>
      <c r="CT6" s="114"/>
      <c r="CU6" s="114"/>
      <c r="CV6" s="114"/>
      <c r="CW6" s="114"/>
      <c r="CX6" s="114"/>
      <c r="CY6" s="114"/>
    </row>
    <row r="7" spans="1:103" s="2" customFormat="1" ht="30" customHeight="1" x14ac:dyDescent="0.25">
      <c r="A7" s="1265" t="s">
        <v>1838</v>
      </c>
      <c r="B7" s="2017">
        <f>ValorUniverso</f>
        <v>11955546768</v>
      </c>
      <c r="C7" s="2018"/>
      <c r="D7" s="1249" t="s">
        <v>174</v>
      </c>
      <c r="E7" s="115"/>
      <c r="F7" s="116"/>
      <c r="G7" s="116"/>
      <c r="H7" s="116"/>
      <c r="I7" s="116"/>
      <c r="J7" s="116"/>
      <c r="K7" s="116"/>
      <c r="L7" s="116"/>
      <c r="M7" s="116"/>
      <c r="N7" s="116"/>
      <c r="O7" s="116"/>
      <c r="P7" s="116"/>
      <c r="Q7" s="116"/>
      <c r="R7" s="116"/>
      <c r="S7" s="116"/>
      <c r="T7" s="116"/>
      <c r="U7" s="116"/>
      <c r="V7" s="116"/>
      <c r="W7" s="116"/>
      <c r="X7" s="116"/>
      <c r="Y7" s="116"/>
      <c r="Z7" s="116"/>
      <c r="AA7" s="116"/>
      <c r="AB7" s="116"/>
      <c r="AC7" s="116"/>
      <c r="AD7" s="116"/>
      <c r="AE7" s="116"/>
      <c r="AF7" s="116"/>
      <c r="AG7" s="116"/>
      <c r="AH7" s="116"/>
      <c r="AI7" s="116"/>
      <c r="AJ7" s="116"/>
      <c r="AK7" s="116"/>
      <c r="AL7" s="116"/>
      <c r="AM7" s="116"/>
      <c r="AN7" s="116"/>
      <c r="AO7" s="116"/>
      <c r="AP7" s="116"/>
      <c r="AQ7" s="116"/>
      <c r="AR7" s="116"/>
      <c r="AS7" s="116"/>
      <c r="AT7" s="116"/>
      <c r="AU7" s="116"/>
      <c r="AV7" s="116"/>
      <c r="AW7" s="116"/>
      <c r="AX7" s="116"/>
      <c r="AY7" s="116"/>
      <c r="AZ7" s="116"/>
      <c r="BA7" s="116"/>
      <c r="BB7" s="116"/>
      <c r="BC7" s="116"/>
      <c r="BD7" s="116"/>
      <c r="BE7" s="116"/>
      <c r="BF7" s="116"/>
      <c r="BG7" s="116"/>
      <c r="BH7" s="116"/>
      <c r="BI7" s="116"/>
      <c r="BJ7" s="116"/>
      <c r="BK7" s="116"/>
      <c r="BL7" s="116"/>
      <c r="BM7" s="116"/>
      <c r="BN7" s="116"/>
      <c r="BO7" s="116"/>
      <c r="BP7" s="116"/>
      <c r="BQ7" s="116"/>
      <c r="BR7" s="116"/>
      <c r="BS7" s="116"/>
      <c r="BT7" s="116"/>
      <c r="BU7" s="116"/>
      <c r="BV7" s="116"/>
      <c r="BW7" s="116"/>
      <c r="BX7" s="116"/>
      <c r="BY7" s="116"/>
      <c r="BZ7" s="116"/>
      <c r="CA7" s="116"/>
      <c r="CB7" s="116"/>
      <c r="CC7" s="116"/>
      <c r="CD7" s="116"/>
      <c r="CE7" s="116"/>
      <c r="CF7" s="116"/>
      <c r="CG7" s="116"/>
      <c r="CH7" s="116"/>
      <c r="CI7" s="116"/>
      <c r="CJ7" s="116"/>
      <c r="CK7" s="116"/>
      <c r="CL7" s="116"/>
      <c r="CM7" s="116"/>
      <c r="CN7" s="116"/>
      <c r="CO7" s="116"/>
      <c r="CP7" s="116"/>
      <c r="CQ7" s="116"/>
      <c r="CR7" s="116"/>
      <c r="CS7" s="116"/>
      <c r="CT7" s="116"/>
      <c r="CU7" s="116"/>
      <c r="CV7" s="116"/>
      <c r="CW7" s="116"/>
      <c r="CX7" s="116"/>
      <c r="CY7" s="117"/>
    </row>
    <row r="8" spans="1:103" s="3" customFormat="1" ht="30" customHeight="1" x14ac:dyDescent="0.25">
      <c r="A8" s="1265" t="s">
        <v>1839</v>
      </c>
      <c r="B8" s="2019" t="str">
        <f>Riesgo</f>
        <v>MEDIO</v>
      </c>
      <c r="C8" s="2020"/>
      <c r="D8" s="1249" t="s">
        <v>175</v>
      </c>
      <c r="E8" s="118">
        <v>78985898</v>
      </c>
      <c r="F8" s="119">
        <v>148898989</v>
      </c>
      <c r="G8" s="119">
        <v>159800000</v>
      </c>
      <c r="H8" s="119">
        <v>258000000</v>
      </c>
      <c r="I8" s="119">
        <v>698705598</v>
      </c>
      <c r="J8" s="119">
        <v>89797989</v>
      </c>
      <c r="K8" s="119">
        <v>169826565</v>
      </c>
      <c r="L8" s="119"/>
      <c r="M8" s="119"/>
      <c r="N8" s="119"/>
      <c r="O8" s="119"/>
      <c r="P8" s="119"/>
      <c r="Q8" s="119"/>
      <c r="R8" s="119"/>
      <c r="S8" s="119"/>
      <c r="T8" s="119"/>
      <c r="U8" s="119"/>
      <c r="V8" s="119"/>
      <c r="W8" s="119"/>
      <c r="X8" s="119"/>
      <c r="Y8" s="119"/>
      <c r="Z8" s="119"/>
      <c r="AA8" s="119"/>
      <c r="AB8" s="119"/>
      <c r="AC8" s="119"/>
      <c r="AD8" s="119"/>
      <c r="AE8" s="119"/>
      <c r="AF8" s="119"/>
      <c r="AG8" s="119"/>
      <c r="AH8" s="119"/>
      <c r="AI8" s="119"/>
      <c r="AJ8" s="119"/>
      <c r="AK8" s="119"/>
      <c r="AL8" s="119"/>
      <c r="AM8" s="119"/>
      <c r="AN8" s="119"/>
      <c r="AO8" s="119"/>
      <c r="AP8" s="119"/>
      <c r="AQ8" s="119"/>
      <c r="AR8" s="119"/>
      <c r="AS8" s="119"/>
      <c r="AT8" s="119"/>
      <c r="AU8" s="119"/>
      <c r="AV8" s="119"/>
      <c r="AW8" s="119"/>
      <c r="AX8" s="119"/>
      <c r="AY8" s="119"/>
      <c r="AZ8" s="119"/>
      <c r="BA8" s="119"/>
      <c r="BB8" s="119"/>
      <c r="BC8" s="119"/>
      <c r="BD8" s="119"/>
      <c r="BE8" s="119"/>
      <c r="BF8" s="119"/>
      <c r="BG8" s="119"/>
      <c r="BH8" s="119"/>
      <c r="BI8" s="119"/>
      <c r="BJ8" s="119"/>
      <c r="BK8" s="119"/>
      <c r="BL8" s="119"/>
      <c r="BM8" s="119"/>
      <c r="BN8" s="119"/>
      <c r="BO8" s="119"/>
      <c r="BP8" s="119"/>
      <c r="BQ8" s="119"/>
      <c r="BR8" s="119"/>
      <c r="BS8" s="119"/>
      <c r="BT8" s="119"/>
      <c r="BU8" s="119"/>
      <c r="BV8" s="119"/>
      <c r="BW8" s="119"/>
      <c r="BX8" s="119"/>
      <c r="BY8" s="119"/>
      <c r="BZ8" s="119"/>
      <c r="CA8" s="119"/>
      <c r="CB8" s="119"/>
      <c r="CC8" s="119"/>
      <c r="CD8" s="119"/>
      <c r="CE8" s="119"/>
      <c r="CF8" s="119"/>
      <c r="CG8" s="119"/>
      <c r="CH8" s="119"/>
      <c r="CI8" s="119"/>
      <c r="CJ8" s="119"/>
      <c r="CK8" s="119"/>
      <c r="CL8" s="119"/>
      <c r="CM8" s="119"/>
      <c r="CN8" s="119"/>
      <c r="CO8" s="119"/>
      <c r="CP8" s="119"/>
      <c r="CQ8" s="119"/>
      <c r="CR8" s="119"/>
      <c r="CS8" s="119"/>
      <c r="CT8" s="119"/>
      <c r="CU8" s="119"/>
      <c r="CV8" s="119"/>
      <c r="CW8" s="119"/>
      <c r="CX8" s="119"/>
      <c r="CY8" s="120"/>
    </row>
    <row r="9" spans="1:103" s="3" customFormat="1" ht="30" customHeight="1" x14ac:dyDescent="0.25">
      <c r="A9" s="1265" t="s">
        <v>171</v>
      </c>
      <c r="B9" s="2019">
        <f>Parametro_Min</f>
        <v>0.75</v>
      </c>
      <c r="C9" s="2020"/>
      <c r="D9" s="1249" t="s">
        <v>1846</v>
      </c>
      <c r="E9" s="118">
        <v>75000000</v>
      </c>
      <c r="F9" s="119">
        <v>10000000</v>
      </c>
      <c r="G9" s="119">
        <v>149800000</v>
      </c>
      <c r="H9" s="119">
        <v>258000000</v>
      </c>
      <c r="I9" s="119">
        <v>158963969</v>
      </c>
      <c r="J9" s="119">
        <v>89098989</v>
      </c>
      <c r="K9" s="119">
        <v>169826565</v>
      </c>
      <c r="L9" s="119"/>
      <c r="M9" s="119"/>
      <c r="N9" s="119"/>
      <c r="O9" s="119"/>
      <c r="P9" s="119"/>
      <c r="Q9" s="119"/>
      <c r="R9" s="119"/>
      <c r="S9" s="119"/>
      <c r="T9" s="119"/>
      <c r="U9" s="119"/>
      <c r="V9" s="119"/>
      <c r="W9" s="119"/>
      <c r="X9" s="119"/>
      <c r="Y9" s="119"/>
      <c r="Z9" s="119"/>
      <c r="AA9" s="119"/>
      <c r="AB9" s="119"/>
      <c r="AC9" s="119"/>
      <c r="AD9" s="119"/>
      <c r="AE9" s="119"/>
      <c r="AF9" s="119"/>
      <c r="AG9" s="119"/>
      <c r="AH9" s="119"/>
      <c r="AI9" s="119"/>
      <c r="AJ9" s="119"/>
      <c r="AK9" s="119"/>
      <c r="AL9" s="119"/>
      <c r="AM9" s="119"/>
      <c r="AN9" s="119"/>
      <c r="AO9" s="119"/>
      <c r="AP9" s="119"/>
      <c r="AQ9" s="119"/>
      <c r="AR9" s="119"/>
      <c r="AS9" s="119"/>
      <c r="AT9" s="119"/>
      <c r="AU9" s="119"/>
      <c r="AV9" s="119"/>
      <c r="AW9" s="119"/>
      <c r="AX9" s="119"/>
      <c r="AY9" s="119"/>
      <c r="AZ9" s="119"/>
      <c r="BA9" s="119"/>
      <c r="BB9" s="119"/>
      <c r="BC9" s="119"/>
      <c r="BD9" s="119"/>
      <c r="BE9" s="119"/>
      <c r="BF9" s="119"/>
      <c r="BG9" s="119"/>
      <c r="BH9" s="119"/>
      <c r="BI9" s="119"/>
      <c r="BJ9" s="119"/>
      <c r="BK9" s="119"/>
      <c r="BL9" s="119"/>
      <c r="BM9" s="119"/>
      <c r="BN9" s="119"/>
      <c r="BO9" s="119"/>
      <c r="BP9" s="119"/>
      <c r="BQ9" s="119"/>
      <c r="BR9" s="119"/>
      <c r="BS9" s="119"/>
      <c r="BT9" s="119"/>
      <c r="BU9" s="119"/>
      <c r="BV9" s="119"/>
      <c r="BW9" s="119"/>
      <c r="BX9" s="119"/>
      <c r="BY9" s="119"/>
      <c r="BZ9" s="119"/>
      <c r="CA9" s="119"/>
      <c r="CB9" s="119"/>
      <c r="CC9" s="119"/>
      <c r="CD9" s="119"/>
      <c r="CE9" s="119"/>
      <c r="CF9" s="119"/>
      <c r="CG9" s="119"/>
      <c r="CH9" s="119"/>
      <c r="CI9" s="119"/>
      <c r="CJ9" s="119"/>
      <c r="CK9" s="119"/>
      <c r="CL9" s="119"/>
      <c r="CM9" s="119"/>
      <c r="CN9" s="119"/>
      <c r="CO9" s="119"/>
      <c r="CP9" s="119"/>
      <c r="CQ9" s="119"/>
      <c r="CR9" s="119"/>
      <c r="CS9" s="119"/>
      <c r="CT9" s="119"/>
      <c r="CU9" s="119"/>
      <c r="CV9" s="119"/>
      <c r="CW9" s="119"/>
      <c r="CX9" s="119"/>
      <c r="CY9" s="120"/>
    </row>
    <row r="10" spans="1:103" s="3" customFormat="1" ht="31.5" customHeight="1" x14ac:dyDescent="0.25">
      <c r="A10" s="1265" t="s">
        <v>1840</v>
      </c>
      <c r="B10" s="2017">
        <f>Muestra_Min</f>
        <v>2988886692</v>
      </c>
      <c r="C10" s="2018"/>
      <c r="D10" s="1249" t="s">
        <v>180</v>
      </c>
      <c r="E10" s="111" t="s">
        <v>1850</v>
      </c>
      <c r="F10" s="112" t="s">
        <v>181</v>
      </c>
      <c r="G10" s="112" t="s">
        <v>182</v>
      </c>
      <c r="H10" s="112" t="s">
        <v>183</v>
      </c>
      <c r="I10" s="112" t="s">
        <v>184</v>
      </c>
      <c r="J10" s="112" t="s">
        <v>185</v>
      </c>
      <c r="K10" s="112" t="s">
        <v>186</v>
      </c>
      <c r="L10" s="112"/>
      <c r="M10" s="112"/>
      <c r="N10" s="112"/>
      <c r="O10" s="112"/>
      <c r="P10" s="112"/>
      <c r="Q10" s="112"/>
      <c r="R10" s="112"/>
      <c r="S10" s="112"/>
      <c r="T10" s="112"/>
      <c r="U10" s="112"/>
      <c r="V10" s="112"/>
      <c r="W10" s="112"/>
      <c r="X10" s="112"/>
      <c r="Y10" s="112"/>
      <c r="Z10" s="112"/>
      <c r="AA10" s="112"/>
      <c r="AB10" s="112"/>
      <c r="AC10" s="112"/>
      <c r="AD10" s="112"/>
      <c r="AE10" s="112"/>
      <c r="AF10" s="112"/>
      <c r="AG10" s="112"/>
      <c r="AH10" s="112"/>
      <c r="AI10" s="112"/>
      <c r="AJ10" s="112"/>
      <c r="AK10" s="112"/>
      <c r="AL10" s="112"/>
      <c r="AM10" s="112"/>
      <c r="AN10" s="112"/>
      <c r="AO10" s="112"/>
      <c r="AP10" s="112"/>
      <c r="AQ10" s="112"/>
      <c r="AR10" s="112"/>
      <c r="AS10" s="112"/>
      <c r="AT10" s="112"/>
      <c r="AU10" s="112"/>
      <c r="AV10" s="112"/>
      <c r="AW10" s="112"/>
      <c r="AX10" s="112"/>
      <c r="AY10" s="112"/>
      <c r="AZ10" s="112"/>
      <c r="BA10" s="112"/>
      <c r="BB10" s="112"/>
      <c r="BC10" s="112"/>
      <c r="BD10" s="112"/>
      <c r="BE10" s="112"/>
      <c r="BF10" s="112"/>
      <c r="BG10" s="112"/>
      <c r="BH10" s="112"/>
      <c r="BI10" s="112"/>
      <c r="BJ10" s="112"/>
      <c r="BK10" s="112"/>
      <c r="BL10" s="112"/>
      <c r="BM10" s="112"/>
      <c r="BN10" s="112"/>
      <c r="BO10" s="112"/>
      <c r="BP10" s="112"/>
      <c r="BQ10" s="112"/>
      <c r="BR10" s="112"/>
      <c r="BS10" s="112"/>
      <c r="BT10" s="112"/>
      <c r="BU10" s="112"/>
      <c r="BV10" s="112"/>
      <c r="BW10" s="112"/>
      <c r="BX10" s="112"/>
      <c r="BY10" s="112"/>
      <c r="BZ10" s="112"/>
      <c r="CA10" s="112"/>
      <c r="CB10" s="112"/>
      <c r="CC10" s="112"/>
      <c r="CD10" s="112"/>
      <c r="CE10" s="112"/>
      <c r="CF10" s="112"/>
      <c r="CG10" s="112"/>
      <c r="CH10" s="112"/>
      <c r="CI10" s="112"/>
      <c r="CJ10" s="112"/>
      <c r="CK10" s="112"/>
      <c r="CL10" s="112"/>
      <c r="CM10" s="112"/>
      <c r="CN10" s="112"/>
      <c r="CO10" s="112"/>
      <c r="CP10" s="112"/>
      <c r="CQ10" s="112"/>
      <c r="CR10" s="112"/>
      <c r="CS10" s="112"/>
      <c r="CT10" s="112"/>
      <c r="CU10" s="112"/>
      <c r="CV10" s="112"/>
      <c r="CW10" s="112"/>
      <c r="CX10" s="112"/>
      <c r="CY10" s="113"/>
    </row>
    <row r="11" spans="1:103" s="4" customFormat="1" ht="37.5" hidden="1" customHeight="1" x14ac:dyDescent="0.25">
      <c r="A11" s="1265" t="s">
        <v>1841</v>
      </c>
      <c r="B11" s="2021" t="str">
        <f>IF(B12&gt;=B10,"SI CUMPLE","NO CUMPLE")</f>
        <v>NO CUMPLE</v>
      </c>
      <c r="C11" s="2022"/>
    </row>
    <row r="12" spans="1:103" s="4" customFormat="1" ht="37.5" customHeight="1" thickBot="1" x14ac:dyDescent="0.3">
      <c r="A12" s="1266" t="s">
        <v>176</v>
      </c>
      <c r="B12" s="2005">
        <f>SUM(E9:CY9)</f>
        <v>910689523</v>
      </c>
      <c r="C12" s="2006"/>
      <c r="D12" s="1249" t="s">
        <v>188</v>
      </c>
      <c r="E12" s="121" t="s">
        <v>459</v>
      </c>
      <c r="F12" s="122" t="s">
        <v>189</v>
      </c>
      <c r="G12" s="122" t="s">
        <v>190</v>
      </c>
      <c r="H12" s="122" t="s">
        <v>191</v>
      </c>
      <c r="I12" s="122" t="s">
        <v>191</v>
      </c>
      <c r="J12" s="122" t="s">
        <v>191</v>
      </c>
      <c r="K12" s="122" t="s">
        <v>192</v>
      </c>
      <c r="L12" s="122" t="s">
        <v>192</v>
      </c>
      <c r="M12" s="122" t="s">
        <v>191</v>
      </c>
      <c r="N12" s="122" t="s">
        <v>191</v>
      </c>
      <c r="O12" s="122"/>
      <c r="P12" s="122"/>
      <c r="Q12" s="122"/>
      <c r="R12" s="122"/>
      <c r="S12" s="122"/>
      <c r="T12" s="122"/>
      <c r="U12" s="122"/>
      <c r="V12" s="122"/>
      <c r="W12" s="122"/>
      <c r="X12" s="122"/>
      <c r="Y12" s="122"/>
      <c r="Z12" s="122"/>
      <c r="AA12" s="122"/>
      <c r="AB12" s="122"/>
      <c r="AC12" s="122"/>
      <c r="AD12" s="122"/>
      <c r="AE12" s="122"/>
      <c r="AF12" s="122"/>
      <c r="AG12" s="122"/>
      <c r="AH12" s="122"/>
      <c r="AI12" s="122"/>
      <c r="AJ12" s="122"/>
      <c r="AK12" s="122"/>
      <c r="AL12" s="122"/>
      <c r="AM12" s="122"/>
      <c r="AN12" s="122"/>
      <c r="AO12" s="122"/>
      <c r="AP12" s="122"/>
      <c r="AQ12" s="122"/>
      <c r="AR12" s="122"/>
      <c r="AS12" s="122"/>
      <c r="AT12" s="122"/>
      <c r="AU12" s="122"/>
      <c r="AV12" s="122"/>
      <c r="AW12" s="122"/>
      <c r="AX12" s="122"/>
      <c r="AY12" s="122"/>
      <c r="AZ12" s="122"/>
      <c r="BA12" s="122"/>
      <c r="BB12" s="122"/>
      <c r="BC12" s="122"/>
      <c r="BD12" s="122"/>
      <c r="BE12" s="122"/>
      <c r="BF12" s="122"/>
      <c r="BG12" s="122"/>
      <c r="BH12" s="122"/>
      <c r="BI12" s="122"/>
      <c r="BJ12" s="122"/>
      <c r="BK12" s="122"/>
      <c r="BL12" s="122"/>
      <c r="BM12" s="122"/>
      <c r="BN12" s="122"/>
      <c r="BO12" s="122"/>
      <c r="BP12" s="122"/>
      <c r="BQ12" s="122"/>
      <c r="BR12" s="122"/>
      <c r="BS12" s="122"/>
      <c r="BT12" s="122"/>
      <c r="BU12" s="122"/>
      <c r="BV12" s="122"/>
      <c r="BW12" s="122"/>
      <c r="BX12" s="122"/>
      <c r="BY12" s="122"/>
      <c r="BZ12" s="122"/>
      <c r="CA12" s="122"/>
      <c r="CB12" s="122"/>
      <c r="CC12" s="122"/>
      <c r="CD12" s="122"/>
      <c r="CE12" s="122"/>
      <c r="CF12" s="122"/>
      <c r="CG12" s="122"/>
      <c r="CH12" s="122"/>
      <c r="CI12" s="122"/>
      <c r="CJ12" s="122"/>
      <c r="CK12" s="122"/>
      <c r="CL12" s="122"/>
      <c r="CM12" s="122"/>
      <c r="CN12" s="122"/>
      <c r="CO12" s="122"/>
      <c r="CP12" s="122"/>
      <c r="CQ12" s="122"/>
      <c r="CR12" s="122"/>
      <c r="CS12" s="122"/>
      <c r="CT12" s="122"/>
      <c r="CU12" s="122"/>
      <c r="CV12" s="122"/>
      <c r="CW12" s="122"/>
      <c r="CX12" s="122"/>
      <c r="CY12" s="123"/>
    </row>
    <row r="13" spans="1:103" s="4" customFormat="1" ht="35.25" customHeight="1" thickBot="1" x14ac:dyDescent="0.3">
      <c r="A13" s="2004" t="s">
        <v>177</v>
      </c>
      <c r="B13" s="2004" t="s">
        <v>178</v>
      </c>
      <c r="C13" s="2023" t="s">
        <v>179</v>
      </c>
      <c r="D13" s="1250" t="s">
        <v>194</v>
      </c>
      <c r="E13" s="121" t="s">
        <v>1851</v>
      </c>
      <c r="F13" s="122" t="s">
        <v>1852</v>
      </c>
      <c r="G13" s="122" t="s">
        <v>1853</v>
      </c>
      <c r="H13" s="122" t="s">
        <v>1854</v>
      </c>
      <c r="I13" s="122" t="s">
        <v>1854</v>
      </c>
      <c r="J13" s="122"/>
      <c r="K13" s="122"/>
      <c r="L13" s="122"/>
      <c r="M13" s="122"/>
      <c r="N13" s="122"/>
      <c r="O13" s="122"/>
      <c r="P13" s="122"/>
      <c r="Q13" s="122"/>
      <c r="R13" s="122"/>
      <c r="S13" s="122"/>
      <c r="T13" s="122"/>
      <c r="U13" s="122"/>
      <c r="V13" s="122"/>
      <c r="W13" s="122"/>
      <c r="X13" s="122"/>
      <c r="Y13" s="122"/>
      <c r="Z13" s="122"/>
      <c r="AA13" s="122"/>
      <c r="AB13" s="122"/>
      <c r="AC13" s="122"/>
      <c r="AD13" s="122"/>
      <c r="AE13" s="122"/>
      <c r="AF13" s="122"/>
      <c r="AG13" s="122"/>
      <c r="AH13" s="122"/>
      <c r="AI13" s="122"/>
      <c r="AJ13" s="122"/>
      <c r="AK13" s="122"/>
      <c r="AL13" s="122"/>
      <c r="AM13" s="122"/>
      <c r="AN13" s="122"/>
      <c r="AO13" s="122"/>
      <c r="AP13" s="122"/>
      <c r="AQ13" s="122"/>
      <c r="AR13" s="122"/>
      <c r="AS13" s="122"/>
      <c r="AT13" s="122"/>
      <c r="AU13" s="122"/>
      <c r="AV13" s="122"/>
      <c r="AW13" s="122"/>
      <c r="AX13" s="122"/>
      <c r="AY13" s="122"/>
      <c r="AZ13" s="122"/>
      <c r="BA13" s="122"/>
      <c r="BB13" s="122"/>
      <c r="BC13" s="122"/>
      <c r="BD13" s="122"/>
      <c r="BE13" s="122"/>
      <c r="BF13" s="122"/>
      <c r="BG13" s="122"/>
      <c r="BH13" s="122"/>
      <c r="BI13" s="122"/>
      <c r="BJ13" s="122"/>
      <c r="BK13" s="122"/>
      <c r="BL13" s="122"/>
      <c r="BM13" s="122"/>
      <c r="BN13" s="122"/>
      <c r="BO13" s="122"/>
      <c r="BP13" s="122"/>
      <c r="BQ13" s="122"/>
      <c r="BR13" s="122"/>
      <c r="BS13" s="122"/>
      <c r="BT13" s="122"/>
      <c r="BU13" s="122"/>
      <c r="BV13" s="122"/>
      <c r="BW13" s="122"/>
      <c r="BX13" s="122"/>
      <c r="BY13" s="122"/>
      <c r="BZ13" s="122"/>
      <c r="CA13" s="122"/>
      <c r="CB13" s="122"/>
      <c r="CC13" s="122"/>
      <c r="CD13" s="122"/>
      <c r="CE13" s="122"/>
      <c r="CF13" s="122"/>
      <c r="CG13" s="122"/>
      <c r="CH13" s="122"/>
      <c r="CI13" s="122"/>
      <c r="CJ13" s="122"/>
      <c r="CK13" s="122"/>
      <c r="CL13" s="122"/>
      <c r="CM13" s="122"/>
      <c r="CN13" s="122"/>
      <c r="CO13" s="122"/>
      <c r="CP13" s="122"/>
      <c r="CQ13" s="122"/>
      <c r="CR13" s="122"/>
      <c r="CS13" s="122"/>
      <c r="CT13" s="122"/>
      <c r="CU13" s="122"/>
      <c r="CV13" s="122"/>
      <c r="CW13" s="122"/>
      <c r="CX13" s="122"/>
      <c r="CY13" s="123"/>
    </row>
    <row r="14" spans="1:103" s="3" customFormat="1" ht="30" customHeight="1" thickBot="1" x14ac:dyDescent="0.3">
      <c r="A14" s="2004"/>
      <c r="B14" s="2004"/>
      <c r="C14" s="2023"/>
      <c r="D14" s="1250" t="s">
        <v>196</v>
      </c>
      <c r="E14" s="124" t="s">
        <v>436</v>
      </c>
      <c r="F14" s="124" t="s">
        <v>436</v>
      </c>
      <c r="G14" s="124" t="s">
        <v>197</v>
      </c>
      <c r="H14" s="124" t="s">
        <v>198</v>
      </c>
      <c r="I14" s="124" t="s">
        <v>197</v>
      </c>
      <c r="J14" s="124" t="s">
        <v>197</v>
      </c>
      <c r="K14" s="124" t="s">
        <v>198</v>
      </c>
      <c r="L14" s="124"/>
      <c r="M14" s="124"/>
      <c r="N14" s="124"/>
      <c r="O14" s="124"/>
      <c r="P14" s="124"/>
      <c r="Q14" s="124"/>
      <c r="R14" s="124"/>
      <c r="S14" s="124"/>
      <c r="T14" s="124"/>
      <c r="U14" s="124"/>
      <c r="V14" s="124"/>
      <c r="W14" s="124"/>
      <c r="X14" s="124"/>
      <c r="Y14" s="124"/>
      <c r="Z14" s="124"/>
      <c r="AA14" s="124"/>
      <c r="AB14" s="124"/>
      <c r="AC14" s="124"/>
      <c r="AD14" s="124"/>
      <c r="AE14" s="124"/>
      <c r="AF14" s="124"/>
      <c r="AG14" s="124"/>
      <c r="AH14" s="124"/>
      <c r="AI14" s="124"/>
      <c r="AJ14" s="124"/>
      <c r="AK14" s="124"/>
      <c r="AL14" s="124"/>
      <c r="AM14" s="124"/>
      <c r="AN14" s="124"/>
      <c r="AO14" s="124"/>
      <c r="AP14" s="124"/>
      <c r="AQ14" s="124"/>
      <c r="AR14" s="124"/>
      <c r="AS14" s="124"/>
      <c r="AT14" s="124"/>
      <c r="AU14" s="124"/>
      <c r="AV14" s="124"/>
      <c r="AW14" s="124"/>
      <c r="AX14" s="124"/>
      <c r="AY14" s="124"/>
      <c r="AZ14" s="124"/>
      <c r="BA14" s="124"/>
      <c r="BB14" s="124"/>
      <c r="BC14" s="124"/>
      <c r="BD14" s="124"/>
      <c r="BE14" s="124"/>
      <c r="BF14" s="124"/>
      <c r="BG14" s="124"/>
      <c r="BH14" s="124"/>
      <c r="BI14" s="124"/>
      <c r="BJ14" s="124"/>
      <c r="BK14" s="124"/>
      <c r="BL14" s="124"/>
      <c r="BM14" s="124"/>
      <c r="BN14" s="124"/>
      <c r="BO14" s="124"/>
      <c r="BP14" s="124"/>
      <c r="BQ14" s="124"/>
      <c r="BR14" s="124"/>
      <c r="BS14" s="124"/>
      <c r="BT14" s="124"/>
      <c r="BU14" s="124"/>
      <c r="BV14" s="124"/>
      <c r="BW14" s="124"/>
      <c r="BX14" s="124"/>
      <c r="BY14" s="124"/>
      <c r="BZ14" s="124"/>
      <c r="CA14" s="124"/>
      <c r="CB14" s="124"/>
      <c r="CC14" s="124"/>
      <c r="CD14" s="124"/>
      <c r="CE14" s="124"/>
      <c r="CF14" s="124"/>
      <c r="CG14" s="124"/>
      <c r="CH14" s="124"/>
      <c r="CI14" s="124"/>
      <c r="CJ14" s="124"/>
      <c r="CK14" s="124"/>
      <c r="CL14" s="124"/>
      <c r="CM14" s="124"/>
      <c r="CN14" s="124"/>
      <c r="CO14" s="124"/>
      <c r="CP14" s="124"/>
      <c r="CQ14" s="124"/>
      <c r="CR14" s="124"/>
      <c r="CS14" s="124"/>
      <c r="CT14" s="124"/>
      <c r="CU14" s="124"/>
      <c r="CV14" s="124"/>
      <c r="CW14" s="124"/>
      <c r="CX14" s="124"/>
      <c r="CY14" s="1242"/>
    </row>
    <row r="15" spans="1:103" s="3" customFormat="1" ht="30" customHeight="1" x14ac:dyDescent="0.25">
      <c r="A15" s="1253" t="s">
        <v>187</v>
      </c>
      <c r="B15" s="1261" t="str">
        <f>IF(C15="","",IF(C15&gt;=$B$9,"ECONOMICO","ANTIECONOMICO"))</f>
        <v>ANTIECONOMICO</v>
      </c>
      <c r="C15" s="1257">
        <f>IFERROR(IF(_ECONOMIA_CONTRATACION&lt;0,"",_ECONOMIA_CONTRATACION),"")</f>
        <v>0.73259884790203089</v>
      </c>
      <c r="D15" s="1250" t="s">
        <v>199</v>
      </c>
      <c r="E15" s="125">
        <f t="shared" ref="E15:AJ15" si="0">IFERROR(E9/$B$12,"")</f>
        <v>8.2355180449352763E-2</v>
      </c>
      <c r="F15" s="126">
        <f t="shared" si="0"/>
        <v>1.098069072658037E-2</v>
      </c>
      <c r="G15" s="126">
        <f t="shared" si="0"/>
        <v>0.16449074708417394</v>
      </c>
      <c r="H15" s="126">
        <f t="shared" si="0"/>
        <v>0.28330182074577354</v>
      </c>
      <c r="I15" s="126">
        <f t="shared" si="0"/>
        <v>0.17455341802587093</v>
      </c>
      <c r="J15" s="126">
        <f t="shared" si="0"/>
        <v>9.7836844225998629E-2</v>
      </c>
      <c r="K15" s="126">
        <f t="shared" si="0"/>
        <v>0.18648129874224983</v>
      </c>
      <c r="L15" s="126">
        <f t="shared" si="0"/>
        <v>0</v>
      </c>
      <c r="M15" s="126">
        <f t="shared" si="0"/>
        <v>0</v>
      </c>
      <c r="N15" s="126">
        <f t="shared" si="0"/>
        <v>0</v>
      </c>
      <c r="O15" s="126">
        <f t="shared" si="0"/>
        <v>0</v>
      </c>
      <c r="P15" s="126">
        <f t="shared" si="0"/>
        <v>0</v>
      </c>
      <c r="Q15" s="126">
        <f t="shared" si="0"/>
        <v>0</v>
      </c>
      <c r="R15" s="126">
        <f t="shared" si="0"/>
        <v>0</v>
      </c>
      <c r="S15" s="126">
        <f t="shared" si="0"/>
        <v>0</v>
      </c>
      <c r="T15" s="126">
        <f t="shared" si="0"/>
        <v>0</v>
      </c>
      <c r="U15" s="126">
        <f t="shared" si="0"/>
        <v>0</v>
      </c>
      <c r="V15" s="126">
        <f t="shared" si="0"/>
        <v>0</v>
      </c>
      <c r="W15" s="126">
        <f t="shared" si="0"/>
        <v>0</v>
      </c>
      <c r="X15" s="126">
        <f t="shared" si="0"/>
        <v>0</v>
      </c>
      <c r="Y15" s="126">
        <f t="shared" si="0"/>
        <v>0</v>
      </c>
      <c r="Z15" s="126">
        <f t="shared" si="0"/>
        <v>0</v>
      </c>
      <c r="AA15" s="126">
        <f t="shared" si="0"/>
        <v>0</v>
      </c>
      <c r="AB15" s="126">
        <f t="shared" si="0"/>
        <v>0</v>
      </c>
      <c r="AC15" s="126">
        <f t="shared" si="0"/>
        <v>0</v>
      </c>
      <c r="AD15" s="126">
        <f t="shared" si="0"/>
        <v>0</v>
      </c>
      <c r="AE15" s="126">
        <f t="shared" si="0"/>
        <v>0</v>
      </c>
      <c r="AF15" s="126">
        <f t="shared" si="0"/>
        <v>0</v>
      </c>
      <c r="AG15" s="126">
        <f t="shared" si="0"/>
        <v>0</v>
      </c>
      <c r="AH15" s="126">
        <f t="shared" si="0"/>
        <v>0</v>
      </c>
      <c r="AI15" s="126">
        <f t="shared" si="0"/>
        <v>0</v>
      </c>
      <c r="AJ15" s="126">
        <f t="shared" si="0"/>
        <v>0</v>
      </c>
      <c r="AK15" s="126">
        <f t="shared" ref="AK15:BP15" si="1">IFERROR(AK9/$B$12,"")</f>
        <v>0</v>
      </c>
      <c r="AL15" s="126">
        <f t="shared" si="1"/>
        <v>0</v>
      </c>
      <c r="AM15" s="126">
        <f t="shared" si="1"/>
        <v>0</v>
      </c>
      <c r="AN15" s="126">
        <f t="shared" si="1"/>
        <v>0</v>
      </c>
      <c r="AO15" s="126">
        <f t="shared" si="1"/>
        <v>0</v>
      </c>
      <c r="AP15" s="126">
        <f t="shared" si="1"/>
        <v>0</v>
      </c>
      <c r="AQ15" s="126">
        <f t="shared" si="1"/>
        <v>0</v>
      </c>
      <c r="AR15" s="126">
        <f t="shared" si="1"/>
        <v>0</v>
      </c>
      <c r="AS15" s="126">
        <f t="shared" si="1"/>
        <v>0</v>
      </c>
      <c r="AT15" s="126">
        <f t="shared" si="1"/>
        <v>0</v>
      </c>
      <c r="AU15" s="126">
        <f t="shared" si="1"/>
        <v>0</v>
      </c>
      <c r="AV15" s="126">
        <f t="shared" si="1"/>
        <v>0</v>
      </c>
      <c r="AW15" s="126">
        <f t="shared" si="1"/>
        <v>0</v>
      </c>
      <c r="AX15" s="126">
        <f t="shared" si="1"/>
        <v>0</v>
      </c>
      <c r="AY15" s="126">
        <f t="shared" si="1"/>
        <v>0</v>
      </c>
      <c r="AZ15" s="126">
        <f t="shared" si="1"/>
        <v>0</v>
      </c>
      <c r="BA15" s="126">
        <f t="shared" si="1"/>
        <v>0</v>
      </c>
      <c r="BB15" s="126">
        <f t="shared" si="1"/>
        <v>0</v>
      </c>
      <c r="BC15" s="126">
        <f t="shared" si="1"/>
        <v>0</v>
      </c>
      <c r="BD15" s="126">
        <f t="shared" si="1"/>
        <v>0</v>
      </c>
      <c r="BE15" s="126">
        <f t="shared" si="1"/>
        <v>0</v>
      </c>
      <c r="BF15" s="126">
        <f t="shared" si="1"/>
        <v>0</v>
      </c>
      <c r="BG15" s="126">
        <f t="shared" si="1"/>
        <v>0</v>
      </c>
      <c r="BH15" s="126">
        <f t="shared" si="1"/>
        <v>0</v>
      </c>
      <c r="BI15" s="126">
        <f t="shared" si="1"/>
        <v>0</v>
      </c>
      <c r="BJ15" s="126">
        <f t="shared" si="1"/>
        <v>0</v>
      </c>
      <c r="BK15" s="126">
        <f t="shared" si="1"/>
        <v>0</v>
      </c>
      <c r="BL15" s="126">
        <f t="shared" si="1"/>
        <v>0</v>
      </c>
      <c r="BM15" s="126">
        <f t="shared" si="1"/>
        <v>0</v>
      </c>
      <c r="BN15" s="126">
        <f t="shared" si="1"/>
        <v>0</v>
      </c>
      <c r="BO15" s="126">
        <f t="shared" si="1"/>
        <v>0</v>
      </c>
      <c r="BP15" s="126">
        <f t="shared" si="1"/>
        <v>0</v>
      </c>
      <c r="BQ15" s="126">
        <f t="shared" ref="BQ15:CY15" si="2">IFERROR(BQ9/$B$12,"")</f>
        <v>0</v>
      </c>
      <c r="BR15" s="126">
        <f t="shared" si="2"/>
        <v>0</v>
      </c>
      <c r="BS15" s="126">
        <f t="shared" si="2"/>
        <v>0</v>
      </c>
      <c r="BT15" s="126">
        <f t="shared" si="2"/>
        <v>0</v>
      </c>
      <c r="BU15" s="126">
        <f t="shared" si="2"/>
        <v>0</v>
      </c>
      <c r="BV15" s="126">
        <f t="shared" si="2"/>
        <v>0</v>
      </c>
      <c r="BW15" s="126">
        <f t="shared" si="2"/>
        <v>0</v>
      </c>
      <c r="BX15" s="126">
        <f t="shared" si="2"/>
        <v>0</v>
      </c>
      <c r="BY15" s="126">
        <f t="shared" si="2"/>
        <v>0</v>
      </c>
      <c r="BZ15" s="126">
        <f t="shared" si="2"/>
        <v>0</v>
      </c>
      <c r="CA15" s="126">
        <f t="shared" si="2"/>
        <v>0</v>
      </c>
      <c r="CB15" s="126">
        <f t="shared" si="2"/>
        <v>0</v>
      </c>
      <c r="CC15" s="126">
        <f t="shared" si="2"/>
        <v>0</v>
      </c>
      <c r="CD15" s="126">
        <f t="shared" si="2"/>
        <v>0</v>
      </c>
      <c r="CE15" s="126">
        <f t="shared" si="2"/>
        <v>0</v>
      </c>
      <c r="CF15" s="126">
        <f t="shared" si="2"/>
        <v>0</v>
      </c>
      <c r="CG15" s="126">
        <f t="shared" si="2"/>
        <v>0</v>
      </c>
      <c r="CH15" s="126">
        <f t="shared" si="2"/>
        <v>0</v>
      </c>
      <c r="CI15" s="126">
        <f t="shared" si="2"/>
        <v>0</v>
      </c>
      <c r="CJ15" s="126">
        <f t="shared" si="2"/>
        <v>0</v>
      </c>
      <c r="CK15" s="126">
        <f t="shared" si="2"/>
        <v>0</v>
      </c>
      <c r="CL15" s="126">
        <f t="shared" si="2"/>
        <v>0</v>
      </c>
      <c r="CM15" s="126">
        <f t="shared" si="2"/>
        <v>0</v>
      </c>
      <c r="CN15" s="126">
        <f t="shared" si="2"/>
        <v>0</v>
      </c>
      <c r="CO15" s="126">
        <f t="shared" si="2"/>
        <v>0</v>
      </c>
      <c r="CP15" s="126">
        <f t="shared" si="2"/>
        <v>0</v>
      </c>
      <c r="CQ15" s="126">
        <f t="shared" si="2"/>
        <v>0</v>
      </c>
      <c r="CR15" s="126">
        <f t="shared" si="2"/>
        <v>0</v>
      </c>
      <c r="CS15" s="126">
        <f t="shared" si="2"/>
        <v>0</v>
      </c>
      <c r="CT15" s="126">
        <f t="shared" si="2"/>
        <v>0</v>
      </c>
      <c r="CU15" s="126">
        <f t="shared" si="2"/>
        <v>0</v>
      </c>
      <c r="CV15" s="126">
        <f t="shared" si="2"/>
        <v>0</v>
      </c>
      <c r="CW15" s="126">
        <f t="shared" si="2"/>
        <v>0</v>
      </c>
      <c r="CX15" s="126">
        <f t="shared" si="2"/>
        <v>0</v>
      </c>
      <c r="CY15" s="1243">
        <f t="shared" si="2"/>
        <v>0</v>
      </c>
    </row>
    <row r="16" spans="1:103" s="3" customFormat="1" ht="35.25" customHeight="1" x14ac:dyDescent="0.25">
      <c r="A16" s="1254" t="s">
        <v>193</v>
      </c>
      <c r="B16" s="1254" t="str">
        <f>IF(C16="","",IF(C16&gt;=$B$9,"EFICAZ","INEFICAZ"))</f>
        <v>INEFICAZ</v>
      </c>
      <c r="C16" s="1258">
        <f>IFERROR(IF(_EFICACIA_CONTRATACION&lt;0,"",_EFICACIA_CONTRATACION),"")</f>
        <v>0.73269837205523991</v>
      </c>
      <c r="D16" s="1250" t="s">
        <v>201</v>
      </c>
      <c r="E16" s="127" t="s">
        <v>296</v>
      </c>
      <c r="F16" s="128" t="s">
        <v>204</v>
      </c>
      <c r="G16" s="128" t="s">
        <v>294</v>
      </c>
      <c r="H16" s="128" t="s">
        <v>205</v>
      </c>
      <c r="I16" s="128" t="s">
        <v>203</v>
      </c>
      <c r="J16" s="128" t="s">
        <v>204</v>
      </c>
      <c r="K16" s="128" t="s">
        <v>205</v>
      </c>
      <c r="L16" s="128"/>
      <c r="M16" s="128"/>
      <c r="N16" s="128"/>
      <c r="O16" s="128"/>
      <c r="P16" s="128"/>
      <c r="Q16" s="128"/>
      <c r="R16" s="128"/>
      <c r="S16" s="128"/>
      <c r="T16" s="128"/>
      <c r="U16" s="128"/>
      <c r="V16" s="128"/>
      <c r="W16" s="128"/>
      <c r="X16" s="128"/>
      <c r="Y16" s="128"/>
      <c r="Z16" s="128"/>
      <c r="AA16" s="128"/>
      <c r="AB16" s="128"/>
      <c r="AC16" s="128"/>
      <c r="AD16" s="128"/>
      <c r="AE16" s="128"/>
      <c r="AF16" s="128"/>
      <c r="AG16" s="128"/>
      <c r="AH16" s="128"/>
      <c r="AI16" s="128"/>
      <c r="AJ16" s="128"/>
      <c r="AK16" s="128"/>
      <c r="AL16" s="128"/>
      <c r="AM16" s="128"/>
      <c r="AN16" s="128"/>
      <c r="AO16" s="128"/>
      <c r="AP16" s="128"/>
      <c r="AQ16" s="128"/>
      <c r="AR16" s="128"/>
      <c r="AS16" s="128"/>
      <c r="AT16" s="128"/>
      <c r="AU16" s="128"/>
      <c r="AV16" s="128"/>
      <c r="AW16" s="128"/>
      <c r="AX16" s="128"/>
      <c r="AY16" s="128"/>
      <c r="AZ16" s="128"/>
      <c r="BA16" s="128"/>
      <c r="BB16" s="128"/>
      <c r="BC16" s="128"/>
      <c r="BD16" s="128"/>
      <c r="BE16" s="128"/>
      <c r="BF16" s="128"/>
      <c r="BG16" s="128"/>
      <c r="BH16" s="128"/>
      <c r="BI16" s="128"/>
      <c r="BJ16" s="128"/>
      <c r="BK16" s="128"/>
      <c r="BL16" s="128"/>
      <c r="BM16" s="128"/>
      <c r="BN16" s="128"/>
      <c r="BO16" s="128"/>
      <c r="BP16" s="128"/>
      <c r="BQ16" s="128"/>
      <c r="BR16" s="128"/>
      <c r="BS16" s="128"/>
      <c r="BT16" s="128"/>
      <c r="BU16" s="128"/>
      <c r="BV16" s="128"/>
      <c r="BW16" s="128"/>
      <c r="BX16" s="128"/>
      <c r="BY16" s="128"/>
      <c r="BZ16" s="128"/>
      <c r="CA16" s="128"/>
      <c r="CB16" s="128"/>
      <c r="CC16" s="128"/>
      <c r="CD16" s="128"/>
      <c r="CE16" s="128"/>
      <c r="CF16" s="128"/>
      <c r="CG16" s="128"/>
      <c r="CH16" s="128"/>
      <c r="CI16" s="128"/>
      <c r="CJ16" s="128"/>
      <c r="CK16" s="128"/>
      <c r="CL16" s="128"/>
      <c r="CM16" s="128"/>
      <c r="CN16" s="128"/>
      <c r="CO16" s="128"/>
      <c r="CP16" s="128"/>
      <c r="CQ16" s="128"/>
      <c r="CR16" s="128"/>
      <c r="CS16" s="128"/>
      <c r="CT16" s="128"/>
      <c r="CU16" s="128"/>
      <c r="CV16" s="128"/>
      <c r="CW16" s="128"/>
      <c r="CX16" s="128"/>
      <c r="CY16" s="129"/>
    </row>
    <row r="17" spans="1:103" s="5" customFormat="1" ht="30" customHeight="1" thickBot="1" x14ac:dyDescent="0.3">
      <c r="A17" s="1255" t="s">
        <v>195</v>
      </c>
      <c r="B17" s="1262" t="str">
        <f>IF(C17="","",IF(C17&gt;=$B$9,"EFICIENTE","DEFICIENTE"))</f>
        <v>DEFICIENTE</v>
      </c>
      <c r="C17" s="1259">
        <f>IFERROR(IF(_EFICIENCIA_CONTRATACION&lt;0,"",_EFICIENCIA_CONTRATACION),"")</f>
        <v>0.7380806175037109</v>
      </c>
      <c r="D17" s="1250" t="s">
        <v>1847</v>
      </c>
      <c r="E17" s="130"/>
      <c r="F17" s="131"/>
      <c r="G17" s="131">
        <v>100000000</v>
      </c>
      <c r="H17" s="131"/>
      <c r="I17" s="131"/>
      <c r="J17" s="131"/>
      <c r="K17" s="131"/>
      <c r="L17" s="131"/>
      <c r="M17" s="131"/>
      <c r="N17" s="131"/>
      <c r="O17" s="131"/>
      <c r="P17" s="131"/>
      <c r="Q17" s="131"/>
      <c r="R17" s="131"/>
      <c r="S17" s="131"/>
      <c r="T17" s="131"/>
      <c r="U17" s="131"/>
      <c r="V17" s="131"/>
      <c r="W17" s="131"/>
      <c r="X17" s="131"/>
      <c r="Y17" s="131"/>
      <c r="Z17" s="131"/>
      <c r="AA17" s="131"/>
      <c r="AB17" s="131"/>
      <c r="AC17" s="131"/>
      <c r="AD17" s="131"/>
      <c r="AE17" s="131"/>
      <c r="AF17" s="131"/>
      <c r="AG17" s="131"/>
      <c r="AH17" s="131"/>
      <c r="AI17" s="131"/>
      <c r="AJ17" s="131"/>
      <c r="AK17" s="131"/>
      <c r="AL17" s="131"/>
      <c r="AM17" s="131"/>
      <c r="AN17" s="131"/>
      <c r="AO17" s="131"/>
      <c r="AP17" s="131"/>
      <c r="AQ17" s="131"/>
      <c r="AR17" s="131"/>
      <c r="AS17" s="131"/>
      <c r="AT17" s="131"/>
      <c r="AU17" s="131"/>
      <c r="AV17" s="131"/>
      <c r="AW17" s="131"/>
      <c r="AX17" s="131"/>
      <c r="AY17" s="131"/>
      <c r="AZ17" s="131"/>
      <c r="BA17" s="131"/>
      <c r="BB17" s="131"/>
      <c r="BC17" s="131"/>
      <c r="BD17" s="131"/>
      <c r="BE17" s="131"/>
      <c r="BF17" s="131"/>
      <c r="BG17" s="131"/>
      <c r="BH17" s="131"/>
      <c r="BI17" s="131"/>
      <c r="BJ17" s="131"/>
      <c r="BK17" s="131"/>
      <c r="BL17" s="131"/>
      <c r="BM17" s="131"/>
      <c r="BN17" s="131"/>
      <c r="BO17" s="131"/>
      <c r="BP17" s="131"/>
      <c r="BQ17" s="131"/>
      <c r="BR17" s="131"/>
      <c r="BS17" s="131"/>
      <c r="BT17" s="131"/>
      <c r="BU17" s="131"/>
      <c r="BV17" s="131"/>
      <c r="BW17" s="131"/>
      <c r="BX17" s="131"/>
      <c r="BY17" s="131"/>
      <c r="BZ17" s="131"/>
      <c r="CA17" s="131"/>
      <c r="CB17" s="131"/>
      <c r="CC17" s="131"/>
      <c r="CD17" s="131"/>
      <c r="CE17" s="131"/>
      <c r="CF17" s="131"/>
      <c r="CG17" s="131"/>
      <c r="CH17" s="131"/>
      <c r="CI17" s="131"/>
      <c r="CJ17" s="131"/>
      <c r="CK17" s="131"/>
      <c r="CL17" s="131"/>
      <c r="CM17" s="131"/>
      <c r="CN17" s="131"/>
      <c r="CO17" s="131"/>
      <c r="CP17" s="131"/>
      <c r="CQ17" s="131"/>
      <c r="CR17" s="131"/>
      <c r="CS17" s="131"/>
      <c r="CT17" s="131"/>
      <c r="CU17" s="131"/>
      <c r="CV17" s="131"/>
      <c r="CW17" s="131"/>
      <c r="CX17" s="131"/>
      <c r="CY17" s="132"/>
    </row>
    <row r="18" spans="1:103" s="5" customFormat="1" ht="33.75" customHeight="1" thickBot="1" x14ac:dyDescent="0.3">
      <c r="A18" s="1256" t="s">
        <v>200</v>
      </c>
      <c r="B18" s="1263" t="str">
        <f>IFERROR(
IF(AND(C18&gt;=$B$9,OR(B15&lt;&gt;"ECONOMICO",B16&lt;&gt;"EFICAZ",B17&lt;&gt;"EFICIENTE")),"MODERADAMENTE EFECTIVO",
IF($B$8="BAJO",VLOOKUP($C$18,TablaConcepto[],4,TRUE),IF($B$8="MEDIO",VLOOKUP($C$18,TablaConcepto[[MEDIO]:[Concepto]],3,TRUE),VLOOKUP($C$18,TablaConcepto[[ALTO]:[Concepto]],2,TRUE)))),
"")</f>
        <v>CON OBSERVACIONES</v>
      </c>
      <c r="C18" s="1260">
        <f>IFERROR(AVERAGE(C15:C17),"")</f>
        <v>0.73445927915366049</v>
      </c>
      <c r="D18" s="1251" t="s">
        <v>206</v>
      </c>
      <c r="E18" s="133"/>
      <c r="F18" s="134"/>
      <c r="G18" s="134"/>
      <c r="H18" s="134"/>
      <c r="I18" s="134"/>
      <c r="J18" s="134"/>
      <c r="K18" s="134"/>
      <c r="L18" s="134"/>
      <c r="M18" s="134"/>
      <c r="N18" s="134"/>
      <c r="O18" s="134"/>
      <c r="P18" s="134"/>
      <c r="Q18" s="134"/>
      <c r="R18" s="134"/>
      <c r="S18" s="134"/>
      <c r="T18" s="134"/>
      <c r="U18" s="134"/>
      <c r="V18" s="134"/>
      <c r="W18" s="134"/>
      <c r="X18" s="134"/>
      <c r="Y18" s="134"/>
      <c r="Z18" s="134"/>
      <c r="AA18" s="134"/>
      <c r="AB18" s="134"/>
      <c r="AC18" s="134"/>
      <c r="AD18" s="134"/>
      <c r="AE18" s="134"/>
      <c r="AF18" s="134"/>
      <c r="AG18" s="134"/>
      <c r="AH18" s="134"/>
      <c r="AI18" s="134"/>
      <c r="AJ18" s="134"/>
      <c r="AK18" s="134"/>
      <c r="AL18" s="134"/>
      <c r="AM18" s="134"/>
      <c r="AN18" s="134"/>
      <c r="AO18" s="134"/>
      <c r="AP18" s="134"/>
      <c r="AQ18" s="134"/>
      <c r="AR18" s="134"/>
      <c r="AS18" s="134"/>
      <c r="AT18" s="134"/>
      <c r="AU18" s="134"/>
      <c r="AV18" s="134"/>
      <c r="AW18" s="134"/>
      <c r="AX18" s="134"/>
      <c r="AY18" s="134"/>
      <c r="AZ18" s="134"/>
      <c r="BA18" s="134"/>
      <c r="BB18" s="134"/>
      <c r="BC18" s="134"/>
      <c r="BD18" s="134"/>
      <c r="BE18" s="134"/>
      <c r="BF18" s="134"/>
      <c r="BG18" s="134"/>
      <c r="BH18" s="134"/>
      <c r="BI18" s="134"/>
      <c r="BJ18" s="134"/>
      <c r="BK18" s="134"/>
      <c r="BL18" s="134"/>
      <c r="BM18" s="134"/>
      <c r="BN18" s="134"/>
      <c r="BO18" s="134"/>
      <c r="BP18" s="134"/>
      <c r="BQ18" s="134"/>
      <c r="BR18" s="134"/>
      <c r="BS18" s="134"/>
      <c r="BT18" s="134"/>
      <c r="BU18" s="134"/>
      <c r="BV18" s="134"/>
      <c r="BW18" s="134"/>
      <c r="BX18" s="134"/>
      <c r="BY18" s="134"/>
      <c r="BZ18" s="134"/>
      <c r="CA18" s="134"/>
      <c r="CB18" s="134"/>
      <c r="CC18" s="134"/>
      <c r="CD18" s="134"/>
      <c r="CE18" s="134"/>
      <c r="CF18" s="134"/>
      <c r="CG18" s="134"/>
      <c r="CH18" s="134"/>
      <c r="CI18" s="134"/>
      <c r="CJ18" s="134"/>
      <c r="CK18" s="134"/>
      <c r="CL18" s="134"/>
      <c r="CM18" s="134"/>
      <c r="CN18" s="134"/>
      <c r="CO18" s="134"/>
      <c r="CP18" s="134"/>
      <c r="CQ18" s="134"/>
      <c r="CR18" s="134"/>
      <c r="CS18" s="134"/>
      <c r="CT18" s="134"/>
      <c r="CU18" s="134"/>
      <c r="CV18" s="134"/>
      <c r="CW18" s="134"/>
      <c r="CX18" s="134"/>
      <c r="CY18" s="135"/>
    </row>
    <row r="19" spans="1:103" s="6" customFormat="1" ht="35.25" customHeight="1" x14ac:dyDescent="0.25"/>
    <row r="20" spans="1:103" s="7" customFormat="1" ht="25.5" customHeight="1" thickBot="1" x14ac:dyDescent="0.3">
      <c r="A20" s="5"/>
      <c r="B20" s="1192" t="b">
        <f>AND(C18&gt;=B9,OR(B15&lt;&gt;"ECONOMICO",B16&lt;&gt;"EFICAZ",B17&lt;&gt;"EFICIENTE"))</f>
        <v>0</v>
      </c>
      <c r="C20" s="5"/>
      <c r="D20" s="136"/>
      <c r="E20" s="137"/>
      <c r="F20" s="137"/>
      <c r="G20" s="137"/>
      <c r="H20" s="137"/>
      <c r="I20" s="137"/>
      <c r="J20" s="137"/>
      <c r="K20" s="137"/>
      <c r="L20" s="137"/>
      <c r="M20" s="137"/>
      <c r="N20" s="137"/>
      <c r="O20" s="137"/>
      <c r="P20" s="137"/>
      <c r="Q20" s="137"/>
      <c r="R20" s="137"/>
      <c r="S20" s="137"/>
      <c r="T20" s="137"/>
      <c r="U20" s="137"/>
      <c r="V20" s="137"/>
      <c r="W20" s="137"/>
      <c r="X20" s="137"/>
      <c r="Y20" s="137"/>
      <c r="Z20" s="137"/>
      <c r="AA20" s="137"/>
      <c r="AB20" s="137"/>
      <c r="AC20" s="137"/>
      <c r="AD20" s="137"/>
      <c r="AE20" s="137"/>
      <c r="AF20" s="138"/>
      <c r="AG20" s="138"/>
      <c r="AH20" s="138"/>
      <c r="AI20" s="138"/>
      <c r="AJ20" s="138"/>
      <c r="AK20" s="138"/>
      <c r="AL20" s="138"/>
      <c r="AM20" s="138"/>
      <c r="AN20" s="138"/>
      <c r="AO20" s="138"/>
      <c r="AP20" s="138"/>
      <c r="AQ20" s="138"/>
      <c r="AR20" s="138"/>
      <c r="AS20" s="138"/>
      <c r="AT20" s="138"/>
      <c r="AU20" s="138"/>
      <c r="AV20" s="138"/>
      <c r="AW20" s="138"/>
      <c r="AX20" s="138"/>
      <c r="AY20" s="138"/>
      <c r="AZ20" s="138"/>
      <c r="BA20" s="138"/>
      <c r="BB20" s="138"/>
      <c r="BC20" s="138"/>
      <c r="BD20" s="138"/>
      <c r="BE20" s="138"/>
      <c r="BF20" s="138"/>
      <c r="BG20" s="138"/>
      <c r="BH20" s="138"/>
      <c r="BI20" s="138"/>
      <c r="BJ20" s="138"/>
      <c r="BK20" s="138"/>
      <c r="BL20" s="138"/>
      <c r="BM20" s="138"/>
      <c r="BN20" s="138"/>
      <c r="BO20" s="138"/>
      <c r="BP20" s="138"/>
      <c r="BQ20" s="138"/>
      <c r="BR20" s="138"/>
      <c r="BS20" s="138"/>
      <c r="BT20" s="138"/>
      <c r="BU20" s="138"/>
      <c r="BV20" s="138"/>
      <c r="BW20" s="138"/>
      <c r="BX20" s="138"/>
      <c r="BY20" s="138"/>
      <c r="BZ20" s="138"/>
      <c r="CA20" s="138"/>
      <c r="CB20" s="138"/>
      <c r="CC20" s="138"/>
      <c r="CD20" s="138"/>
      <c r="CE20" s="138"/>
      <c r="CF20" s="138"/>
      <c r="CG20" s="138"/>
      <c r="CH20" s="138"/>
      <c r="CI20" s="138"/>
      <c r="CJ20" s="138"/>
      <c r="CK20" s="138"/>
      <c r="CL20" s="138"/>
      <c r="CM20" s="138"/>
      <c r="CN20" s="138"/>
      <c r="CO20" s="138"/>
      <c r="CP20" s="138"/>
      <c r="CQ20" s="138"/>
      <c r="CR20" s="138"/>
      <c r="CS20" s="138"/>
      <c r="CT20" s="138"/>
      <c r="CU20" s="138"/>
      <c r="CV20" s="138"/>
      <c r="CW20" s="138"/>
      <c r="CX20" s="138"/>
      <c r="CY20" s="138"/>
    </row>
    <row r="21" spans="1:103" s="8" customFormat="1" ht="24.75" thickBot="1" x14ac:dyDescent="0.3">
      <c r="A21" s="1193" t="s">
        <v>207</v>
      </c>
      <c r="B21" s="1194" t="s">
        <v>208</v>
      </c>
      <c r="C21" s="1194" t="s">
        <v>209</v>
      </c>
      <c r="D21" s="1195" t="s">
        <v>210</v>
      </c>
      <c r="E21" s="139" t="s">
        <v>211</v>
      </c>
      <c r="F21" s="140" t="s">
        <v>211</v>
      </c>
      <c r="G21" s="140" t="s">
        <v>211</v>
      </c>
      <c r="H21" s="140" t="s">
        <v>211</v>
      </c>
      <c r="I21" s="140" t="s">
        <v>211</v>
      </c>
      <c r="J21" s="140" t="s">
        <v>211</v>
      </c>
      <c r="K21" s="140" t="s">
        <v>211</v>
      </c>
      <c r="L21" s="140" t="s">
        <v>211</v>
      </c>
      <c r="M21" s="140" t="s">
        <v>211</v>
      </c>
      <c r="N21" s="140" t="s">
        <v>211</v>
      </c>
      <c r="O21" s="140" t="s">
        <v>211</v>
      </c>
      <c r="P21" s="140" t="s">
        <v>211</v>
      </c>
      <c r="Q21" s="140" t="s">
        <v>211</v>
      </c>
      <c r="R21" s="140" t="s">
        <v>211</v>
      </c>
      <c r="S21" s="140" t="s">
        <v>211</v>
      </c>
      <c r="T21" s="140" t="s">
        <v>211</v>
      </c>
      <c r="U21" s="140" t="s">
        <v>211</v>
      </c>
      <c r="V21" s="140" t="s">
        <v>211</v>
      </c>
      <c r="W21" s="140" t="s">
        <v>211</v>
      </c>
      <c r="X21" s="140" t="s">
        <v>211</v>
      </c>
      <c r="Y21" s="140" t="s">
        <v>211</v>
      </c>
      <c r="Z21" s="140" t="s">
        <v>211</v>
      </c>
      <c r="AA21" s="140" t="s">
        <v>211</v>
      </c>
      <c r="AB21" s="140" t="s">
        <v>211</v>
      </c>
      <c r="AC21" s="140" t="s">
        <v>211</v>
      </c>
      <c r="AD21" s="140" t="s">
        <v>211</v>
      </c>
      <c r="AE21" s="140" t="s">
        <v>211</v>
      </c>
      <c r="AF21" s="140" t="s">
        <v>211</v>
      </c>
      <c r="AG21" s="140" t="s">
        <v>211</v>
      </c>
      <c r="AH21" s="140" t="s">
        <v>211</v>
      </c>
      <c r="AI21" s="140" t="s">
        <v>211</v>
      </c>
      <c r="AJ21" s="140" t="s">
        <v>211</v>
      </c>
      <c r="AK21" s="140" t="s">
        <v>211</v>
      </c>
      <c r="AL21" s="140" t="s">
        <v>211</v>
      </c>
      <c r="AM21" s="140" t="s">
        <v>211</v>
      </c>
      <c r="AN21" s="140" t="s">
        <v>211</v>
      </c>
      <c r="AO21" s="140" t="s">
        <v>211</v>
      </c>
      <c r="AP21" s="140" t="s">
        <v>211</v>
      </c>
      <c r="AQ21" s="140" t="s">
        <v>211</v>
      </c>
      <c r="AR21" s="140" t="s">
        <v>211</v>
      </c>
      <c r="AS21" s="140" t="s">
        <v>211</v>
      </c>
      <c r="AT21" s="140" t="s">
        <v>211</v>
      </c>
      <c r="AU21" s="140" t="s">
        <v>211</v>
      </c>
      <c r="AV21" s="140" t="s">
        <v>211</v>
      </c>
      <c r="AW21" s="140" t="s">
        <v>211</v>
      </c>
      <c r="AX21" s="140" t="s">
        <v>211</v>
      </c>
      <c r="AY21" s="140" t="s">
        <v>211</v>
      </c>
      <c r="AZ21" s="140" t="s">
        <v>211</v>
      </c>
      <c r="BA21" s="140" t="s">
        <v>211</v>
      </c>
      <c r="BB21" s="140" t="s">
        <v>211</v>
      </c>
      <c r="BC21" s="140" t="s">
        <v>211</v>
      </c>
      <c r="BD21" s="140" t="s">
        <v>211</v>
      </c>
      <c r="BE21" s="140" t="s">
        <v>211</v>
      </c>
      <c r="BF21" s="140" t="s">
        <v>211</v>
      </c>
      <c r="BG21" s="140" t="s">
        <v>211</v>
      </c>
      <c r="BH21" s="140" t="s">
        <v>211</v>
      </c>
      <c r="BI21" s="140" t="s">
        <v>211</v>
      </c>
      <c r="BJ21" s="140" t="s">
        <v>211</v>
      </c>
      <c r="BK21" s="140" t="s">
        <v>211</v>
      </c>
      <c r="BL21" s="140" t="s">
        <v>211</v>
      </c>
      <c r="BM21" s="140" t="s">
        <v>211</v>
      </c>
      <c r="BN21" s="140" t="s">
        <v>211</v>
      </c>
      <c r="BO21" s="140" t="s">
        <v>211</v>
      </c>
      <c r="BP21" s="140" t="s">
        <v>211</v>
      </c>
      <c r="BQ21" s="140" t="s">
        <v>211</v>
      </c>
      <c r="BR21" s="140" t="s">
        <v>211</v>
      </c>
      <c r="BS21" s="140" t="s">
        <v>211</v>
      </c>
      <c r="BT21" s="140" t="s">
        <v>211</v>
      </c>
      <c r="BU21" s="140" t="s">
        <v>211</v>
      </c>
      <c r="BV21" s="140" t="s">
        <v>211</v>
      </c>
      <c r="BW21" s="140" t="s">
        <v>211</v>
      </c>
      <c r="BX21" s="140" t="s">
        <v>211</v>
      </c>
      <c r="BY21" s="140" t="s">
        <v>211</v>
      </c>
      <c r="BZ21" s="140" t="s">
        <v>211</v>
      </c>
      <c r="CA21" s="140" t="s">
        <v>211</v>
      </c>
      <c r="CB21" s="140" t="s">
        <v>211</v>
      </c>
      <c r="CC21" s="140" t="s">
        <v>211</v>
      </c>
      <c r="CD21" s="140" t="s">
        <v>211</v>
      </c>
      <c r="CE21" s="140" t="s">
        <v>211</v>
      </c>
      <c r="CF21" s="140" t="s">
        <v>211</v>
      </c>
      <c r="CG21" s="140" t="s">
        <v>211</v>
      </c>
      <c r="CH21" s="140" t="s">
        <v>211</v>
      </c>
      <c r="CI21" s="140" t="s">
        <v>211</v>
      </c>
      <c r="CJ21" s="140" t="s">
        <v>211</v>
      </c>
      <c r="CK21" s="140" t="s">
        <v>211</v>
      </c>
      <c r="CL21" s="140" t="s">
        <v>211</v>
      </c>
      <c r="CM21" s="140" t="s">
        <v>211</v>
      </c>
      <c r="CN21" s="140" t="s">
        <v>211</v>
      </c>
      <c r="CO21" s="140" t="s">
        <v>211</v>
      </c>
      <c r="CP21" s="140" t="s">
        <v>211</v>
      </c>
      <c r="CQ21" s="140" t="s">
        <v>211</v>
      </c>
      <c r="CR21" s="140" t="s">
        <v>211</v>
      </c>
      <c r="CS21" s="140" t="s">
        <v>211</v>
      </c>
      <c r="CT21" s="140" t="s">
        <v>211</v>
      </c>
      <c r="CU21" s="140" t="s">
        <v>211</v>
      </c>
      <c r="CV21" s="140" t="s">
        <v>211</v>
      </c>
      <c r="CW21" s="140" t="s">
        <v>211</v>
      </c>
      <c r="CX21" s="140" t="s">
        <v>211</v>
      </c>
      <c r="CY21" s="141" t="s">
        <v>211</v>
      </c>
    </row>
    <row r="22" spans="1:103" s="1" customFormat="1" ht="87" customHeight="1" x14ac:dyDescent="0.25">
      <c r="A22" s="1994" t="s">
        <v>212</v>
      </c>
      <c r="B22" s="142" t="s">
        <v>213</v>
      </c>
      <c r="C22" s="143" t="s">
        <v>193</v>
      </c>
      <c r="D22" s="144" t="s">
        <v>214</v>
      </c>
      <c r="E22" s="145">
        <v>1</v>
      </c>
      <c r="F22" s="146">
        <v>0.9</v>
      </c>
      <c r="G22" s="146">
        <v>0.3</v>
      </c>
      <c r="H22" s="146">
        <v>1</v>
      </c>
      <c r="I22" s="146">
        <v>1</v>
      </c>
      <c r="J22" s="146">
        <v>1</v>
      </c>
      <c r="K22" s="146">
        <v>1</v>
      </c>
      <c r="L22" s="146"/>
      <c r="M22" s="146"/>
      <c r="N22" s="146"/>
      <c r="O22" s="146"/>
      <c r="P22" s="146"/>
      <c r="Q22" s="146"/>
      <c r="R22" s="146"/>
      <c r="S22" s="146"/>
      <c r="T22" s="146"/>
      <c r="U22" s="146"/>
      <c r="V22" s="146"/>
      <c r="W22" s="146"/>
      <c r="X22" s="146"/>
      <c r="Y22" s="146"/>
      <c r="Z22" s="146"/>
      <c r="AA22" s="146"/>
      <c r="AB22" s="146"/>
      <c r="AC22" s="146"/>
      <c r="AD22" s="146"/>
      <c r="AE22" s="146"/>
      <c r="AF22" s="146"/>
      <c r="AG22" s="146"/>
      <c r="AH22" s="146"/>
      <c r="AI22" s="146"/>
      <c r="AJ22" s="146"/>
      <c r="AK22" s="146"/>
      <c r="AL22" s="146"/>
      <c r="AM22" s="146"/>
      <c r="AN22" s="146"/>
      <c r="AO22" s="146"/>
      <c r="AP22" s="146"/>
      <c r="AQ22" s="146"/>
      <c r="AR22" s="146"/>
      <c r="AS22" s="146"/>
      <c r="AT22" s="146"/>
      <c r="AU22" s="146"/>
      <c r="AV22" s="146"/>
      <c r="AW22" s="146"/>
      <c r="AX22" s="146"/>
      <c r="AY22" s="146"/>
      <c r="AZ22" s="146"/>
      <c r="BA22" s="146"/>
      <c r="BB22" s="146"/>
      <c r="BC22" s="146"/>
      <c r="BD22" s="146"/>
      <c r="BE22" s="146"/>
      <c r="BF22" s="146"/>
      <c r="BG22" s="146"/>
      <c r="BH22" s="146"/>
      <c r="BI22" s="146"/>
      <c r="BJ22" s="146"/>
      <c r="BK22" s="146"/>
      <c r="BL22" s="146"/>
      <c r="BM22" s="146"/>
      <c r="BN22" s="146"/>
      <c r="BO22" s="146"/>
      <c r="BP22" s="146"/>
      <c r="BQ22" s="146"/>
      <c r="BR22" s="146"/>
      <c r="BS22" s="146"/>
      <c r="BT22" s="146"/>
      <c r="BU22" s="146"/>
      <c r="BV22" s="146"/>
      <c r="BW22" s="146"/>
      <c r="BX22" s="146"/>
      <c r="BY22" s="146"/>
      <c r="BZ22" s="146"/>
      <c r="CA22" s="146"/>
      <c r="CB22" s="146"/>
      <c r="CC22" s="146"/>
      <c r="CD22" s="146"/>
      <c r="CE22" s="146"/>
      <c r="CF22" s="146"/>
      <c r="CG22" s="146"/>
      <c r="CH22" s="146"/>
      <c r="CI22" s="146"/>
      <c r="CJ22" s="146"/>
      <c r="CK22" s="146"/>
      <c r="CL22" s="146"/>
      <c r="CM22" s="146"/>
      <c r="CN22" s="146"/>
      <c r="CO22" s="146"/>
      <c r="CP22" s="146"/>
      <c r="CQ22" s="146"/>
      <c r="CR22" s="146"/>
      <c r="CS22" s="146"/>
      <c r="CT22" s="146"/>
      <c r="CU22" s="146"/>
      <c r="CV22" s="146"/>
      <c r="CW22" s="146"/>
      <c r="CX22" s="146"/>
      <c r="CY22" s="147"/>
    </row>
    <row r="23" spans="1:103" s="1" customFormat="1" ht="96.75" customHeight="1" x14ac:dyDescent="0.25">
      <c r="A23" s="1995"/>
      <c r="B23" s="142" t="s">
        <v>215</v>
      </c>
      <c r="C23" s="143" t="s">
        <v>193</v>
      </c>
      <c r="D23" s="144" t="s">
        <v>216</v>
      </c>
      <c r="E23" s="148">
        <v>1</v>
      </c>
      <c r="F23" s="149">
        <v>1</v>
      </c>
      <c r="G23" s="149">
        <v>1</v>
      </c>
      <c r="H23" s="149">
        <v>1</v>
      </c>
      <c r="I23" s="149">
        <v>1</v>
      </c>
      <c r="J23" s="149">
        <v>0.9</v>
      </c>
      <c r="K23" s="149">
        <v>0.9</v>
      </c>
      <c r="L23" s="149"/>
      <c r="M23" s="149"/>
      <c r="N23" s="149"/>
      <c r="O23" s="149"/>
      <c r="P23" s="149"/>
      <c r="Q23" s="149"/>
      <c r="R23" s="149"/>
      <c r="S23" s="149"/>
      <c r="T23" s="149"/>
      <c r="U23" s="149"/>
      <c r="V23" s="149"/>
      <c r="W23" s="149"/>
      <c r="X23" s="149"/>
      <c r="Y23" s="149"/>
      <c r="Z23" s="149"/>
      <c r="AA23" s="149"/>
      <c r="AB23" s="149"/>
      <c r="AC23" s="149"/>
      <c r="AD23" s="149"/>
      <c r="AE23" s="149"/>
      <c r="AF23" s="149"/>
      <c r="AG23" s="149"/>
      <c r="AH23" s="149"/>
      <c r="AI23" s="149"/>
      <c r="AJ23" s="149"/>
      <c r="AK23" s="149"/>
      <c r="AL23" s="149"/>
      <c r="AM23" s="149"/>
      <c r="AN23" s="149"/>
      <c r="AO23" s="149"/>
      <c r="AP23" s="149"/>
      <c r="AQ23" s="149"/>
      <c r="AR23" s="149"/>
      <c r="AS23" s="149"/>
      <c r="AT23" s="149"/>
      <c r="AU23" s="149"/>
      <c r="AV23" s="149"/>
      <c r="AW23" s="149"/>
      <c r="AX23" s="149"/>
      <c r="AY23" s="149"/>
      <c r="AZ23" s="149"/>
      <c r="BA23" s="149"/>
      <c r="BB23" s="149"/>
      <c r="BC23" s="149"/>
      <c r="BD23" s="149"/>
      <c r="BE23" s="149"/>
      <c r="BF23" s="149"/>
      <c r="BG23" s="149"/>
      <c r="BH23" s="149"/>
      <c r="BI23" s="149"/>
      <c r="BJ23" s="149"/>
      <c r="BK23" s="149"/>
      <c r="BL23" s="149"/>
      <c r="BM23" s="149"/>
      <c r="BN23" s="149"/>
      <c r="BO23" s="149"/>
      <c r="BP23" s="149"/>
      <c r="BQ23" s="149"/>
      <c r="BR23" s="149"/>
      <c r="BS23" s="149"/>
      <c r="BT23" s="149"/>
      <c r="BU23" s="149"/>
      <c r="BV23" s="149"/>
      <c r="BW23" s="149"/>
      <c r="BX23" s="149"/>
      <c r="BY23" s="149"/>
      <c r="BZ23" s="149"/>
      <c r="CA23" s="149"/>
      <c r="CB23" s="149"/>
      <c r="CC23" s="149"/>
      <c r="CD23" s="149"/>
      <c r="CE23" s="149"/>
      <c r="CF23" s="149"/>
      <c r="CG23" s="149"/>
      <c r="CH23" s="149"/>
      <c r="CI23" s="149"/>
      <c r="CJ23" s="149"/>
      <c r="CK23" s="149"/>
      <c r="CL23" s="149"/>
      <c r="CM23" s="149"/>
      <c r="CN23" s="149"/>
      <c r="CO23" s="149"/>
      <c r="CP23" s="149"/>
      <c r="CQ23" s="149"/>
      <c r="CR23" s="149"/>
      <c r="CS23" s="149"/>
      <c r="CT23" s="149"/>
      <c r="CU23" s="149"/>
      <c r="CV23" s="149"/>
      <c r="CW23" s="149"/>
      <c r="CX23" s="149"/>
      <c r="CY23" s="150"/>
    </row>
    <row r="24" spans="1:103" s="1" customFormat="1" ht="69" customHeight="1" x14ac:dyDescent="0.25">
      <c r="A24" s="1995"/>
      <c r="B24" s="142" t="s">
        <v>217</v>
      </c>
      <c r="C24" s="143" t="s">
        <v>187</v>
      </c>
      <c r="D24" s="144" t="s">
        <v>218</v>
      </c>
      <c r="E24" s="148">
        <v>1</v>
      </c>
      <c r="F24" s="149">
        <v>0.9</v>
      </c>
      <c r="G24" s="149">
        <v>0.9</v>
      </c>
      <c r="H24" s="149">
        <v>0.9</v>
      </c>
      <c r="I24" s="149">
        <v>1</v>
      </c>
      <c r="J24" s="149">
        <v>1</v>
      </c>
      <c r="K24" s="149">
        <v>1</v>
      </c>
      <c r="L24" s="149"/>
      <c r="M24" s="149"/>
      <c r="N24" s="149"/>
      <c r="O24" s="149"/>
      <c r="P24" s="149"/>
      <c r="Q24" s="149"/>
      <c r="R24" s="149"/>
      <c r="S24" s="149"/>
      <c r="T24" s="149"/>
      <c r="U24" s="149"/>
      <c r="V24" s="149"/>
      <c r="W24" s="149"/>
      <c r="X24" s="149"/>
      <c r="Y24" s="149"/>
      <c r="Z24" s="149"/>
      <c r="AA24" s="149"/>
      <c r="AB24" s="149"/>
      <c r="AC24" s="149"/>
      <c r="AD24" s="149"/>
      <c r="AE24" s="149"/>
      <c r="AF24" s="149"/>
      <c r="AG24" s="149"/>
      <c r="AH24" s="149"/>
      <c r="AI24" s="149"/>
      <c r="AJ24" s="149"/>
      <c r="AK24" s="149"/>
      <c r="AL24" s="149"/>
      <c r="AM24" s="149"/>
      <c r="AN24" s="149"/>
      <c r="AO24" s="149"/>
      <c r="AP24" s="149"/>
      <c r="AQ24" s="149"/>
      <c r="AR24" s="149"/>
      <c r="AS24" s="149"/>
      <c r="AT24" s="149"/>
      <c r="AU24" s="149"/>
      <c r="AV24" s="149"/>
      <c r="AW24" s="149"/>
      <c r="AX24" s="149"/>
      <c r="AY24" s="149"/>
      <c r="AZ24" s="149"/>
      <c r="BA24" s="149"/>
      <c r="BB24" s="149"/>
      <c r="BC24" s="149"/>
      <c r="BD24" s="149"/>
      <c r="BE24" s="149"/>
      <c r="BF24" s="149"/>
      <c r="BG24" s="149"/>
      <c r="BH24" s="149"/>
      <c r="BI24" s="149"/>
      <c r="BJ24" s="149"/>
      <c r="BK24" s="149"/>
      <c r="BL24" s="149"/>
      <c r="BM24" s="149"/>
      <c r="BN24" s="149"/>
      <c r="BO24" s="149"/>
      <c r="BP24" s="149"/>
      <c r="BQ24" s="149"/>
      <c r="BR24" s="149"/>
      <c r="BS24" s="149"/>
      <c r="BT24" s="149"/>
      <c r="BU24" s="149"/>
      <c r="BV24" s="149"/>
      <c r="BW24" s="149"/>
      <c r="BX24" s="149"/>
      <c r="BY24" s="149"/>
      <c r="BZ24" s="149"/>
      <c r="CA24" s="149"/>
      <c r="CB24" s="149"/>
      <c r="CC24" s="149"/>
      <c r="CD24" s="149"/>
      <c r="CE24" s="149"/>
      <c r="CF24" s="149"/>
      <c r="CG24" s="149"/>
      <c r="CH24" s="149"/>
      <c r="CI24" s="149"/>
      <c r="CJ24" s="149"/>
      <c r="CK24" s="149"/>
      <c r="CL24" s="149"/>
      <c r="CM24" s="149"/>
      <c r="CN24" s="149"/>
      <c r="CO24" s="149"/>
      <c r="CP24" s="149"/>
      <c r="CQ24" s="149"/>
      <c r="CR24" s="149"/>
      <c r="CS24" s="149"/>
      <c r="CT24" s="149"/>
      <c r="CU24" s="149"/>
      <c r="CV24" s="149"/>
      <c r="CW24" s="149"/>
      <c r="CX24" s="149"/>
      <c r="CY24" s="150"/>
    </row>
    <row r="25" spans="1:103" s="1" customFormat="1" ht="45" customHeight="1" x14ac:dyDescent="0.25">
      <c r="A25" s="1995"/>
      <c r="B25" s="142" t="s">
        <v>219</v>
      </c>
      <c r="C25" s="143" t="s">
        <v>193</v>
      </c>
      <c r="D25" s="144" t="s">
        <v>220</v>
      </c>
      <c r="E25" s="148">
        <v>1</v>
      </c>
      <c r="F25" s="149">
        <v>1</v>
      </c>
      <c r="G25" s="149">
        <v>0.85</v>
      </c>
      <c r="H25" s="149"/>
      <c r="I25" s="149">
        <v>1</v>
      </c>
      <c r="J25" s="149">
        <v>0.8</v>
      </c>
      <c r="K25" s="149">
        <v>0.8</v>
      </c>
      <c r="L25" s="149"/>
      <c r="M25" s="149"/>
      <c r="N25" s="149"/>
      <c r="O25" s="149"/>
      <c r="P25" s="149"/>
      <c r="Q25" s="149"/>
      <c r="R25" s="149"/>
      <c r="S25" s="149"/>
      <c r="T25" s="149"/>
      <c r="U25" s="149"/>
      <c r="V25" s="149"/>
      <c r="W25" s="149"/>
      <c r="X25" s="149"/>
      <c r="Y25" s="149"/>
      <c r="Z25" s="149"/>
      <c r="AA25" s="149"/>
      <c r="AB25" s="149"/>
      <c r="AC25" s="149"/>
      <c r="AD25" s="149"/>
      <c r="AE25" s="149"/>
      <c r="AF25" s="149"/>
      <c r="AG25" s="149"/>
      <c r="AH25" s="149"/>
      <c r="AI25" s="149"/>
      <c r="AJ25" s="149"/>
      <c r="AK25" s="149"/>
      <c r="AL25" s="149"/>
      <c r="AM25" s="149"/>
      <c r="AN25" s="149"/>
      <c r="AO25" s="149"/>
      <c r="AP25" s="149"/>
      <c r="AQ25" s="149"/>
      <c r="AR25" s="149"/>
      <c r="AS25" s="149"/>
      <c r="AT25" s="149"/>
      <c r="AU25" s="149"/>
      <c r="AV25" s="149"/>
      <c r="AW25" s="149"/>
      <c r="AX25" s="149"/>
      <c r="AY25" s="149"/>
      <c r="AZ25" s="149"/>
      <c r="BA25" s="149"/>
      <c r="BB25" s="149"/>
      <c r="BC25" s="149"/>
      <c r="BD25" s="149"/>
      <c r="BE25" s="149"/>
      <c r="BF25" s="149"/>
      <c r="BG25" s="149"/>
      <c r="BH25" s="149"/>
      <c r="BI25" s="149"/>
      <c r="BJ25" s="149"/>
      <c r="BK25" s="149"/>
      <c r="BL25" s="149"/>
      <c r="BM25" s="149"/>
      <c r="BN25" s="149"/>
      <c r="BO25" s="149"/>
      <c r="BP25" s="149"/>
      <c r="BQ25" s="149"/>
      <c r="BR25" s="149"/>
      <c r="BS25" s="149"/>
      <c r="BT25" s="149"/>
      <c r="BU25" s="149"/>
      <c r="BV25" s="149"/>
      <c r="BW25" s="149"/>
      <c r="BX25" s="149"/>
      <c r="BY25" s="149"/>
      <c r="BZ25" s="149"/>
      <c r="CA25" s="149"/>
      <c r="CB25" s="149"/>
      <c r="CC25" s="149"/>
      <c r="CD25" s="149"/>
      <c r="CE25" s="149"/>
      <c r="CF25" s="149"/>
      <c r="CG25" s="149"/>
      <c r="CH25" s="149"/>
      <c r="CI25" s="149"/>
      <c r="CJ25" s="149"/>
      <c r="CK25" s="149"/>
      <c r="CL25" s="149"/>
      <c r="CM25" s="149"/>
      <c r="CN25" s="149"/>
      <c r="CO25" s="149"/>
      <c r="CP25" s="149"/>
      <c r="CQ25" s="149"/>
      <c r="CR25" s="149"/>
      <c r="CS25" s="149"/>
      <c r="CT25" s="149"/>
      <c r="CU25" s="149"/>
      <c r="CV25" s="149"/>
      <c r="CW25" s="149"/>
      <c r="CX25" s="149"/>
      <c r="CY25" s="150"/>
    </row>
    <row r="26" spans="1:103" s="1" customFormat="1" ht="70.5" customHeight="1" x14ac:dyDescent="0.25">
      <c r="A26" s="1995"/>
      <c r="B26" s="1997" t="s">
        <v>221</v>
      </c>
      <c r="C26" s="143" t="s">
        <v>187</v>
      </c>
      <c r="D26" s="144" t="s">
        <v>222</v>
      </c>
      <c r="E26" s="148">
        <v>1</v>
      </c>
      <c r="F26" s="149">
        <v>0.9</v>
      </c>
      <c r="G26" s="149">
        <v>0.85</v>
      </c>
      <c r="H26" s="149">
        <v>1</v>
      </c>
      <c r="I26" s="149">
        <v>1</v>
      </c>
      <c r="J26" s="149">
        <v>0.8</v>
      </c>
      <c r="K26" s="149">
        <v>0.8</v>
      </c>
      <c r="L26" s="149"/>
      <c r="M26" s="149"/>
      <c r="N26" s="149"/>
      <c r="O26" s="149"/>
      <c r="P26" s="149"/>
      <c r="Q26" s="149"/>
      <c r="R26" s="149"/>
      <c r="S26" s="149"/>
      <c r="T26" s="149"/>
      <c r="U26" s="149"/>
      <c r="V26" s="149"/>
      <c r="W26" s="149"/>
      <c r="X26" s="149"/>
      <c r="Y26" s="149"/>
      <c r="Z26" s="149"/>
      <c r="AA26" s="149"/>
      <c r="AB26" s="149"/>
      <c r="AC26" s="149"/>
      <c r="AD26" s="149"/>
      <c r="AE26" s="149"/>
      <c r="AF26" s="149"/>
      <c r="AG26" s="149"/>
      <c r="AH26" s="149"/>
      <c r="AI26" s="149"/>
      <c r="AJ26" s="149"/>
      <c r="AK26" s="149"/>
      <c r="AL26" s="149"/>
      <c r="AM26" s="149"/>
      <c r="AN26" s="149"/>
      <c r="AO26" s="149"/>
      <c r="AP26" s="149"/>
      <c r="AQ26" s="149"/>
      <c r="AR26" s="149"/>
      <c r="AS26" s="149"/>
      <c r="AT26" s="149"/>
      <c r="AU26" s="149"/>
      <c r="AV26" s="149"/>
      <c r="AW26" s="149"/>
      <c r="AX26" s="149"/>
      <c r="AY26" s="149"/>
      <c r="AZ26" s="149"/>
      <c r="BA26" s="149"/>
      <c r="BB26" s="149"/>
      <c r="BC26" s="149"/>
      <c r="BD26" s="149"/>
      <c r="BE26" s="149"/>
      <c r="BF26" s="149"/>
      <c r="BG26" s="149"/>
      <c r="BH26" s="149"/>
      <c r="BI26" s="149"/>
      <c r="BJ26" s="149"/>
      <c r="BK26" s="149"/>
      <c r="BL26" s="149"/>
      <c r="BM26" s="149"/>
      <c r="BN26" s="149"/>
      <c r="BO26" s="149"/>
      <c r="BP26" s="149"/>
      <c r="BQ26" s="149"/>
      <c r="BR26" s="149"/>
      <c r="BS26" s="149"/>
      <c r="BT26" s="149"/>
      <c r="BU26" s="149"/>
      <c r="BV26" s="149"/>
      <c r="BW26" s="149"/>
      <c r="BX26" s="149"/>
      <c r="BY26" s="149"/>
      <c r="BZ26" s="149"/>
      <c r="CA26" s="149"/>
      <c r="CB26" s="149"/>
      <c r="CC26" s="149"/>
      <c r="CD26" s="149"/>
      <c r="CE26" s="149"/>
      <c r="CF26" s="149"/>
      <c r="CG26" s="149"/>
      <c r="CH26" s="149"/>
      <c r="CI26" s="149"/>
      <c r="CJ26" s="149"/>
      <c r="CK26" s="149"/>
      <c r="CL26" s="149"/>
      <c r="CM26" s="149"/>
      <c r="CN26" s="149"/>
      <c r="CO26" s="149"/>
      <c r="CP26" s="149"/>
      <c r="CQ26" s="149"/>
      <c r="CR26" s="149"/>
      <c r="CS26" s="149"/>
      <c r="CT26" s="149"/>
      <c r="CU26" s="149"/>
      <c r="CV26" s="149"/>
      <c r="CW26" s="149"/>
      <c r="CX26" s="149"/>
      <c r="CY26" s="150"/>
    </row>
    <row r="27" spans="1:103" s="1" customFormat="1" ht="70.5" customHeight="1" x14ac:dyDescent="0.25">
      <c r="A27" s="1995"/>
      <c r="B27" s="1998"/>
      <c r="C27" s="143" t="s">
        <v>193</v>
      </c>
      <c r="D27" s="144" t="s">
        <v>223</v>
      </c>
      <c r="E27" s="148">
        <v>1</v>
      </c>
      <c r="F27" s="149">
        <v>1</v>
      </c>
      <c r="G27" s="149">
        <v>0.8</v>
      </c>
      <c r="H27" s="149"/>
      <c r="I27" s="149">
        <v>1</v>
      </c>
      <c r="J27" s="149">
        <v>1</v>
      </c>
      <c r="K27" s="149">
        <v>1</v>
      </c>
      <c r="L27" s="149"/>
      <c r="M27" s="149"/>
      <c r="N27" s="149"/>
      <c r="O27" s="149"/>
      <c r="P27" s="149"/>
      <c r="Q27" s="149"/>
      <c r="R27" s="149"/>
      <c r="S27" s="149"/>
      <c r="T27" s="149"/>
      <c r="U27" s="149"/>
      <c r="V27" s="149"/>
      <c r="W27" s="149"/>
      <c r="X27" s="149"/>
      <c r="Y27" s="149"/>
      <c r="Z27" s="149"/>
      <c r="AA27" s="149"/>
      <c r="AB27" s="149"/>
      <c r="AC27" s="149"/>
      <c r="AD27" s="149"/>
      <c r="AE27" s="149"/>
      <c r="AF27" s="149"/>
      <c r="AG27" s="149"/>
      <c r="AH27" s="149"/>
      <c r="AI27" s="149"/>
      <c r="AJ27" s="149"/>
      <c r="AK27" s="149"/>
      <c r="AL27" s="149"/>
      <c r="AM27" s="149"/>
      <c r="AN27" s="149"/>
      <c r="AO27" s="149"/>
      <c r="AP27" s="149"/>
      <c r="AQ27" s="149"/>
      <c r="AR27" s="149"/>
      <c r="AS27" s="149"/>
      <c r="AT27" s="149"/>
      <c r="AU27" s="149"/>
      <c r="AV27" s="149"/>
      <c r="AW27" s="149"/>
      <c r="AX27" s="149"/>
      <c r="AY27" s="149"/>
      <c r="AZ27" s="149"/>
      <c r="BA27" s="149"/>
      <c r="BB27" s="149"/>
      <c r="BC27" s="149"/>
      <c r="BD27" s="149"/>
      <c r="BE27" s="149"/>
      <c r="BF27" s="149"/>
      <c r="BG27" s="149"/>
      <c r="BH27" s="149"/>
      <c r="BI27" s="149"/>
      <c r="BJ27" s="149"/>
      <c r="BK27" s="149"/>
      <c r="BL27" s="149"/>
      <c r="BM27" s="149"/>
      <c r="BN27" s="149"/>
      <c r="BO27" s="149"/>
      <c r="BP27" s="149"/>
      <c r="BQ27" s="149"/>
      <c r="BR27" s="149"/>
      <c r="BS27" s="149"/>
      <c r="BT27" s="149"/>
      <c r="BU27" s="149"/>
      <c r="BV27" s="149"/>
      <c r="BW27" s="149"/>
      <c r="BX27" s="149"/>
      <c r="BY27" s="149"/>
      <c r="BZ27" s="149"/>
      <c r="CA27" s="149"/>
      <c r="CB27" s="149"/>
      <c r="CC27" s="149"/>
      <c r="CD27" s="149"/>
      <c r="CE27" s="149"/>
      <c r="CF27" s="149"/>
      <c r="CG27" s="149"/>
      <c r="CH27" s="149"/>
      <c r="CI27" s="149"/>
      <c r="CJ27" s="149"/>
      <c r="CK27" s="149"/>
      <c r="CL27" s="149"/>
      <c r="CM27" s="149"/>
      <c r="CN27" s="149"/>
      <c r="CO27" s="149"/>
      <c r="CP27" s="149"/>
      <c r="CQ27" s="149"/>
      <c r="CR27" s="149"/>
      <c r="CS27" s="149"/>
      <c r="CT27" s="149"/>
      <c r="CU27" s="149"/>
      <c r="CV27" s="149"/>
      <c r="CW27" s="149"/>
      <c r="CX27" s="149"/>
      <c r="CY27" s="150"/>
    </row>
    <row r="28" spans="1:103" s="1" customFormat="1" ht="61.5" customHeight="1" x14ac:dyDescent="0.25">
      <c r="A28" s="1995"/>
      <c r="B28" s="1999"/>
      <c r="C28" s="143" t="s">
        <v>187</v>
      </c>
      <c r="D28" s="144" t="s">
        <v>224</v>
      </c>
      <c r="E28" s="148">
        <v>1</v>
      </c>
      <c r="F28" s="149">
        <v>0.9</v>
      </c>
      <c r="G28" s="149">
        <v>1</v>
      </c>
      <c r="H28" s="149"/>
      <c r="I28" s="149">
        <v>1</v>
      </c>
      <c r="J28" s="149">
        <v>1</v>
      </c>
      <c r="K28" s="149">
        <v>1</v>
      </c>
      <c r="L28" s="149"/>
      <c r="M28" s="149"/>
      <c r="N28" s="149"/>
      <c r="O28" s="149"/>
      <c r="P28" s="149"/>
      <c r="Q28" s="149"/>
      <c r="R28" s="149"/>
      <c r="S28" s="149"/>
      <c r="T28" s="149"/>
      <c r="U28" s="149"/>
      <c r="V28" s="149"/>
      <c r="W28" s="149"/>
      <c r="X28" s="149"/>
      <c r="Y28" s="149"/>
      <c r="Z28" s="149"/>
      <c r="AA28" s="149"/>
      <c r="AB28" s="149"/>
      <c r="AC28" s="149"/>
      <c r="AD28" s="149"/>
      <c r="AE28" s="149"/>
      <c r="AF28" s="149"/>
      <c r="AG28" s="149"/>
      <c r="AH28" s="149"/>
      <c r="AI28" s="149"/>
      <c r="AJ28" s="149"/>
      <c r="AK28" s="149"/>
      <c r="AL28" s="149"/>
      <c r="AM28" s="149"/>
      <c r="AN28" s="149"/>
      <c r="AO28" s="149"/>
      <c r="AP28" s="149"/>
      <c r="AQ28" s="149"/>
      <c r="AR28" s="149"/>
      <c r="AS28" s="149"/>
      <c r="AT28" s="149"/>
      <c r="AU28" s="149"/>
      <c r="AV28" s="149"/>
      <c r="AW28" s="149"/>
      <c r="AX28" s="149"/>
      <c r="AY28" s="149"/>
      <c r="AZ28" s="149"/>
      <c r="BA28" s="149"/>
      <c r="BB28" s="149"/>
      <c r="BC28" s="149"/>
      <c r="BD28" s="149"/>
      <c r="BE28" s="149"/>
      <c r="BF28" s="149"/>
      <c r="BG28" s="149"/>
      <c r="BH28" s="149"/>
      <c r="BI28" s="149"/>
      <c r="BJ28" s="149"/>
      <c r="BK28" s="149"/>
      <c r="BL28" s="149"/>
      <c r="BM28" s="149"/>
      <c r="BN28" s="149"/>
      <c r="BO28" s="149"/>
      <c r="BP28" s="149"/>
      <c r="BQ28" s="149"/>
      <c r="BR28" s="149"/>
      <c r="BS28" s="149"/>
      <c r="BT28" s="149"/>
      <c r="BU28" s="149"/>
      <c r="BV28" s="149"/>
      <c r="BW28" s="149"/>
      <c r="BX28" s="149"/>
      <c r="BY28" s="149"/>
      <c r="BZ28" s="149"/>
      <c r="CA28" s="149"/>
      <c r="CB28" s="149"/>
      <c r="CC28" s="149"/>
      <c r="CD28" s="149"/>
      <c r="CE28" s="149"/>
      <c r="CF28" s="149"/>
      <c r="CG28" s="149"/>
      <c r="CH28" s="149"/>
      <c r="CI28" s="149"/>
      <c r="CJ28" s="149"/>
      <c r="CK28" s="149"/>
      <c r="CL28" s="149"/>
      <c r="CM28" s="149"/>
      <c r="CN28" s="149"/>
      <c r="CO28" s="149"/>
      <c r="CP28" s="149"/>
      <c r="CQ28" s="149"/>
      <c r="CR28" s="149"/>
      <c r="CS28" s="149"/>
      <c r="CT28" s="149"/>
      <c r="CU28" s="149"/>
      <c r="CV28" s="149"/>
      <c r="CW28" s="149"/>
      <c r="CX28" s="149"/>
      <c r="CY28" s="150"/>
    </row>
    <row r="29" spans="1:103" s="1" customFormat="1" ht="55.5" customHeight="1" x14ac:dyDescent="0.25">
      <c r="A29" s="1995"/>
      <c r="B29" s="2000" t="s">
        <v>225</v>
      </c>
      <c r="C29" s="143" t="s">
        <v>187</v>
      </c>
      <c r="D29" s="144" t="s">
        <v>226</v>
      </c>
      <c r="E29" s="148">
        <v>1</v>
      </c>
      <c r="F29" s="149">
        <v>0.85</v>
      </c>
      <c r="G29" s="149">
        <v>0.9</v>
      </c>
      <c r="H29" s="149">
        <v>1</v>
      </c>
      <c r="I29" s="149">
        <v>1</v>
      </c>
      <c r="J29" s="149">
        <v>1</v>
      </c>
      <c r="K29" s="149">
        <v>1</v>
      </c>
      <c r="L29" s="149"/>
      <c r="M29" s="149"/>
      <c r="N29" s="149"/>
      <c r="O29" s="149"/>
      <c r="P29" s="149"/>
      <c r="Q29" s="149"/>
      <c r="R29" s="149"/>
      <c r="S29" s="149"/>
      <c r="T29" s="149"/>
      <c r="U29" s="149"/>
      <c r="V29" s="149"/>
      <c r="W29" s="149"/>
      <c r="X29" s="149"/>
      <c r="Y29" s="149"/>
      <c r="Z29" s="149"/>
      <c r="AA29" s="149"/>
      <c r="AB29" s="149"/>
      <c r="AC29" s="149"/>
      <c r="AD29" s="149"/>
      <c r="AE29" s="149"/>
      <c r="AF29" s="149"/>
      <c r="AG29" s="149"/>
      <c r="AH29" s="149"/>
      <c r="AI29" s="149"/>
      <c r="AJ29" s="149"/>
      <c r="AK29" s="149"/>
      <c r="AL29" s="149"/>
      <c r="AM29" s="149"/>
      <c r="AN29" s="149"/>
      <c r="AO29" s="149"/>
      <c r="AP29" s="149"/>
      <c r="AQ29" s="149"/>
      <c r="AR29" s="149"/>
      <c r="AS29" s="149"/>
      <c r="AT29" s="149"/>
      <c r="AU29" s="149"/>
      <c r="AV29" s="149"/>
      <c r="AW29" s="149"/>
      <c r="AX29" s="149"/>
      <c r="AY29" s="149"/>
      <c r="AZ29" s="149"/>
      <c r="BA29" s="149"/>
      <c r="BB29" s="149"/>
      <c r="BC29" s="149"/>
      <c r="BD29" s="149"/>
      <c r="BE29" s="149"/>
      <c r="BF29" s="149"/>
      <c r="BG29" s="149"/>
      <c r="BH29" s="149"/>
      <c r="BI29" s="149"/>
      <c r="BJ29" s="149"/>
      <c r="BK29" s="149"/>
      <c r="BL29" s="149"/>
      <c r="BM29" s="149"/>
      <c r="BN29" s="149"/>
      <c r="BO29" s="149"/>
      <c r="BP29" s="149"/>
      <c r="BQ29" s="149"/>
      <c r="BR29" s="149"/>
      <c r="BS29" s="149"/>
      <c r="BT29" s="149"/>
      <c r="BU29" s="149"/>
      <c r="BV29" s="149"/>
      <c r="BW29" s="149"/>
      <c r="BX29" s="149"/>
      <c r="BY29" s="149"/>
      <c r="BZ29" s="149"/>
      <c r="CA29" s="149"/>
      <c r="CB29" s="149"/>
      <c r="CC29" s="149"/>
      <c r="CD29" s="149"/>
      <c r="CE29" s="149"/>
      <c r="CF29" s="149"/>
      <c r="CG29" s="149"/>
      <c r="CH29" s="149"/>
      <c r="CI29" s="149"/>
      <c r="CJ29" s="149"/>
      <c r="CK29" s="149"/>
      <c r="CL29" s="149"/>
      <c r="CM29" s="149"/>
      <c r="CN29" s="149"/>
      <c r="CO29" s="149"/>
      <c r="CP29" s="149"/>
      <c r="CQ29" s="149"/>
      <c r="CR29" s="149"/>
      <c r="CS29" s="149"/>
      <c r="CT29" s="149"/>
      <c r="CU29" s="149"/>
      <c r="CV29" s="149"/>
      <c r="CW29" s="149"/>
      <c r="CX29" s="149"/>
      <c r="CY29" s="150"/>
    </row>
    <row r="30" spans="1:103" s="1" customFormat="1" ht="35.25" customHeight="1" x14ac:dyDescent="0.25">
      <c r="A30" s="1995"/>
      <c r="B30" s="2000"/>
      <c r="C30" s="143" t="s">
        <v>227</v>
      </c>
      <c r="D30" s="2001" t="s">
        <v>228</v>
      </c>
      <c r="E30" s="148">
        <v>1</v>
      </c>
      <c r="F30" s="149">
        <v>0.9</v>
      </c>
      <c r="G30" s="149"/>
      <c r="H30" s="149"/>
      <c r="I30" s="149"/>
      <c r="J30" s="149"/>
      <c r="K30" s="149"/>
      <c r="L30" s="149"/>
      <c r="M30" s="149"/>
      <c r="N30" s="149"/>
      <c r="O30" s="149"/>
      <c r="P30" s="149"/>
      <c r="Q30" s="149"/>
      <c r="R30" s="149"/>
      <c r="S30" s="149"/>
      <c r="T30" s="149"/>
      <c r="U30" s="149"/>
      <c r="V30" s="149"/>
      <c r="W30" s="149"/>
      <c r="X30" s="149"/>
      <c r="Y30" s="149"/>
      <c r="Z30" s="149"/>
      <c r="AA30" s="149"/>
      <c r="AB30" s="149"/>
      <c r="AC30" s="149"/>
      <c r="AD30" s="149"/>
      <c r="AE30" s="149"/>
      <c r="AF30" s="149"/>
      <c r="AG30" s="149"/>
      <c r="AH30" s="149"/>
      <c r="AI30" s="149"/>
      <c r="AJ30" s="149"/>
      <c r="AK30" s="149"/>
      <c r="AL30" s="149"/>
      <c r="AM30" s="149"/>
      <c r="AN30" s="149"/>
      <c r="AO30" s="149"/>
      <c r="AP30" s="149"/>
      <c r="AQ30" s="149"/>
      <c r="AR30" s="149"/>
      <c r="AS30" s="149"/>
      <c r="AT30" s="149"/>
      <c r="AU30" s="149"/>
      <c r="AV30" s="149"/>
      <c r="AW30" s="149"/>
      <c r="AX30" s="149"/>
      <c r="AY30" s="149"/>
      <c r="AZ30" s="149"/>
      <c r="BA30" s="149"/>
      <c r="BB30" s="149"/>
      <c r="BC30" s="149"/>
      <c r="BD30" s="149"/>
      <c r="BE30" s="149"/>
      <c r="BF30" s="149"/>
      <c r="BG30" s="149"/>
      <c r="BH30" s="149"/>
      <c r="BI30" s="149"/>
      <c r="BJ30" s="149"/>
      <c r="BK30" s="149"/>
      <c r="BL30" s="149"/>
      <c r="BM30" s="149"/>
      <c r="BN30" s="149"/>
      <c r="BO30" s="149"/>
      <c r="BP30" s="149"/>
      <c r="BQ30" s="149"/>
      <c r="BR30" s="149"/>
      <c r="BS30" s="149"/>
      <c r="BT30" s="149"/>
      <c r="BU30" s="149"/>
      <c r="BV30" s="149"/>
      <c r="BW30" s="149"/>
      <c r="BX30" s="149"/>
      <c r="BY30" s="149"/>
      <c r="BZ30" s="149"/>
      <c r="CA30" s="149"/>
      <c r="CB30" s="149"/>
      <c r="CC30" s="149"/>
      <c r="CD30" s="149"/>
      <c r="CE30" s="149"/>
      <c r="CF30" s="149"/>
      <c r="CG30" s="149"/>
      <c r="CH30" s="149"/>
      <c r="CI30" s="149"/>
      <c r="CJ30" s="149"/>
      <c r="CK30" s="149"/>
      <c r="CL30" s="149"/>
      <c r="CM30" s="149"/>
      <c r="CN30" s="149"/>
      <c r="CO30" s="149"/>
      <c r="CP30" s="149"/>
      <c r="CQ30" s="149"/>
      <c r="CR30" s="149"/>
      <c r="CS30" s="149"/>
      <c r="CT30" s="149"/>
      <c r="CU30" s="149"/>
      <c r="CV30" s="149"/>
      <c r="CW30" s="149"/>
      <c r="CX30" s="149"/>
      <c r="CY30" s="150"/>
    </row>
    <row r="31" spans="1:103" s="1" customFormat="1" ht="32.25" customHeight="1" x14ac:dyDescent="0.25">
      <c r="A31" s="1995"/>
      <c r="B31" s="2000"/>
      <c r="C31" s="143" t="s">
        <v>193</v>
      </c>
      <c r="D31" s="2002"/>
      <c r="E31" s="148">
        <v>1</v>
      </c>
      <c r="F31" s="149">
        <v>1</v>
      </c>
      <c r="G31" s="149">
        <v>0.8</v>
      </c>
      <c r="H31" s="149">
        <v>0.9</v>
      </c>
      <c r="I31" s="149">
        <v>1</v>
      </c>
      <c r="J31" s="149">
        <v>0.7</v>
      </c>
      <c r="K31" s="149">
        <v>0.7</v>
      </c>
      <c r="L31" s="149"/>
      <c r="M31" s="149"/>
      <c r="N31" s="149"/>
      <c r="O31" s="149"/>
      <c r="P31" s="149"/>
      <c r="Q31" s="149"/>
      <c r="R31" s="149"/>
      <c r="S31" s="149"/>
      <c r="T31" s="149"/>
      <c r="U31" s="149"/>
      <c r="V31" s="149"/>
      <c r="W31" s="149"/>
      <c r="X31" s="149"/>
      <c r="Y31" s="149"/>
      <c r="Z31" s="149"/>
      <c r="AA31" s="149"/>
      <c r="AB31" s="149"/>
      <c r="AC31" s="149"/>
      <c r="AD31" s="149"/>
      <c r="AE31" s="149"/>
      <c r="AF31" s="149"/>
      <c r="AG31" s="149"/>
      <c r="AH31" s="149"/>
      <c r="AI31" s="149"/>
      <c r="AJ31" s="149"/>
      <c r="AK31" s="149"/>
      <c r="AL31" s="149"/>
      <c r="AM31" s="149"/>
      <c r="AN31" s="149"/>
      <c r="AO31" s="149"/>
      <c r="AP31" s="149"/>
      <c r="AQ31" s="149"/>
      <c r="AR31" s="149"/>
      <c r="AS31" s="149"/>
      <c r="AT31" s="149"/>
      <c r="AU31" s="149"/>
      <c r="AV31" s="149"/>
      <c r="AW31" s="149"/>
      <c r="AX31" s="149"/>
      <c r="AY31" s="149"/>
      <c r="AZ31" s="149"/>
      <c r="BA31" s="149"/>
      <c r="BB31" s="149"/>
      <c r="BC31" s="149"/>
      <c r="BD31" s="149"/>
      <c r="BE31" s="149"/>
      <c r="BF31" s="149"/>
      <c r="BG31" s="149"/>
      <c r="BH31" s="149"/>
      <c r="BI31" s="149"/>
      <c r="BJ31" s="149"/>
      <c r="BK31" s="149"/>
      <c r="BL31" s="149"/>
      <c r="BM31" s="149"/>
      <c r="BN31" s="149"/>
      <c r="BO31" s="149"/>
      <c r="BP31" s="149"/>
      <c r="BQ31" s="149"/>
      <c r="BR31" s="149"/>
      <c r="BS31" s="149"/>
      <c r="BT31" s="149"/>
      <c r="BU31" s="149"/>
      <c r="BV31" s="149"/>
      <c r="BW31" s="149"/>
      <c r="BX31" s="149"/>
      <c r="BY31" s="149"/>
      <c r="BZ31" s="149"/>
      <c r="CA31" s="149"/>
      <c r="CB31" s="149"/>
      <c r="CC31" s="149"/>
      <c r="CD31" s="149"/>
      <c r="CE31" s="149"/>
      <c r="CF31" s="149"/>
      <c r="CG31" s="149"/>
      <c r="CH31" s="149"/>
      <c r="CI31" s="149"/>
      <c r="CJ31" s="149"/>
      <c r="CK31" s="149"/>
      <c r="CL31" s="149"/>
      <c r="CM31" s="149"/>
      <c r="CN31" s="149"/>
      <c r="CO31" s="149"/>
      <c r="CP31" s="149"/>
      <c r="CQ31" s="149"/>
      <c r="CR31" s="149"/>
      <c r="CS31" s="149"/>
      <c r="CT31" s="149"/>
      <c r="CU31" s="149"/>
      <c r="CV31" s="149"/>
      <c r="CW31" s="149"/>
      <c r="CX31" s="149"/>
      <c r="CY31" s="150"/>
    </row>
    <row r="32" spans="1:103" s="1" customFormat="1" ht="75.75" customHeight="1" x14ac:dyDescent="0.25">
      <c r="A32" s="1995"/>
      <c r="B32" s="2000"/>
      <c r="C32" s="143" t="s">
        <v>193</v>
      </c>
      <c r="D32" s="144" t="s">
        <v>229</v>
      </c>
      <c r="E32" s="148"/>
      <c r="F32" s="149"/>
      <c r="G32" s="149"/>
      <c r="H32" s="149"/>
      <c r="I32" s="149"/>
      <c r="J32" s="149"/>
      <c r="K32" s="149"/>
      <c r="L32" s="149"/>
      <c r="M32" s="149"/>
      <c r="N32" s="149"/>
      <c r="O32" s="149"/>
      <c r="P32" s="149"/>
      <c r="Q32" s="149"/>
      <c r="R32" s="149"/>
      <c r="S32" s="149"/>
      <c r="T32" s="149"/>
      <c r="U32" s="149"/>
      <c r="V32" s="149"/>
      <c r="W32" s="149"/>
      <c r="X32" s="149"/>
      <c r="Y32" s="149"/>
      <c r="Z32" s="149"/>
      <c r="AA32" s="149"/>
      <c r="AB32" s="149"/>
      <c r="AC32" s="149"/>
      <c r="AD32" s="149"/>
      <c r="AE32" s="149"/>
      <c r="AF32" s="149"/>
      <c r="AG32" s="149"/>
      <c r="AH32" s="149"/>
      <c r="AI32" s="149"/>
      <c r="AJ32" s="149"/>
      <c r="AK32" s="149"/>
      <c r="AL32" s="149"/>
      <c r="AM32" s="149"/>
      <c r="AN32" s="149"/>
      <c r="AO32" s="149"/>
      <c r="AP32" s="149"/>
      <c r="AQ32" s="149"/>
      <c r="AR32" s="149"/>
      <c r="AS32" s="149"/>
      <c r="AT32" s="149"/>
      <c r="AU32" s="149"/>
      <c r="AV32" s="149"/>
      <c r="AW32" s="149"/>
      <c r="AX32" s="149"/>
      <c r="AY32" s="149"/>
      <c r="AZ32" s="149"/>
      <c r="BA32" s="149"/>
      <c r="BB32" s="149"/>
      <c r="BC32" s="149"/>
      <c r="BD32" s="149"/>
      <c r="BE32" s="149"/>
      <c r="BF32" s="149"/>
      <c r="BG32" s="149"/>
      <c r="BH32" s="149"/>
      <c r="BI32" s="149"/>
      <c r="BJ32" s="149"/>
      <c r="BK32" s="149"/>
      <c r="BL32" s="149"/>
      <c r="BM32" s="149"/>
      <c r="BN32" s="149"/>
      <c r="BO32" s="149"/>
      <c r="BP32" s="149"/>
      <c r="BQ32" s="149"/>
      <c r="BR32" s="149"/>
      <c r="BS32" s="149"/>
      <c r="BT32" s="149"/>
      <c r="BU32" s="149"/>
      <c r="BV32" s="149"/>
      <c r="BW32" s="149"/>
      <c r="BX32" s="149"/>
      <c r="BY32" s="149"/>
      <c r="BZ32" s="149"/>
      <c r="CA32" s="149"/>
      <c r="CB32" s="149"/>
      <c r="CC32" s="149"/>
      <c r="CD32" s="149"/>
      <c r="CE32" s="149"/>
      <c r="CF32" s="149"/>
      <c r="CG32" s="149"/>
      <c r="CH32" s="149"/>
      <c r="CI32" s="149"/>
      <c r="CJ32" s="149"/>
      <c r="CK32" s="149"/>
      <c r="CL32" s="149"/>
      <c r="CM32" s="149"/>
      <c r="CN32" s="149"/>
      <c r="CO32" s="149"/>
      <c r="CP32" s="149"/>
      <c r="CQ32" s="149"/>
      <c r="CR32" s="149"/>
      <c r="CS32" s="149"/>
      <c r="CT32" s="149"/>
      <c r="CU32" s="149"/>
      <c r="CV32" s="149"/>
      <c r="CW32" s="149"/>
      <c r="CX32" s="149"/>
      <c r="CY32" s="150"/>
    </row>
    <row r="33" spans="1:103" s="1" customFormat="1" ht="69.75" customHeight="1" x14ac:dyDescent="0.25">
      <c r="A33" s="1995"/>
      <c r="B33" s="2000" t="s">
        <v>230</v>
      </c>
      <c r="C33" s="143" t="s">
        <v>193</v>
      </c>
      <c r="D33" s="144" t="s">
        <v>231</v>
      </c>
      <c r="E33" s="148"/>
      <c r="F33" s="149"/>
      <c r="G33" s="149"/>
      <c r="H33" s="149"/>
      <c r="I33" s="149"/>
      <c r="J33" s="149"/>
      <c r="K33" s="149"/>
      <c r="L33" s="149"/>
      <c r="M33" s="149"/>
      <c r="N33" s="149"/>
      <c r="O33" s="149"/>
      <c r="P33" s="149"/>
      <c r="Q33" s="149"/>
      <c r="R33" s="149"/>
      <c r="S33" s="149"/>
      <c r="T33" s="149"/>
      <c r="U33" s="149"/>
      <c r="V33" s="149"/>
      <c r="W33" s="149"/>
      <c r="X33" s="149"/>
      <c r="Y33" s="149"/>
      <c r="Z33" s="149"/>
      <c r="AA33" s="149"/>
      <c r="AB33" s="149"/>
      <c r="AC33" s="149"/>
      <c r="AD33" s="149"/>
      <c r="AE33" s="149"/>
      <c r="AF33" s="149"/>
      <c r="AG33" s="149"/>
      <c r="AH33" s="149"/>
      <c r="AI33" s="149"/>
      <c r="AJ33" s="149"/>
      <c r="AK33" s="149"/>
      <c r="AL33" s="149"/>
      <c r="AM33" s="149"/>
      <c r="AN33" s="149"/>
      <c r="AO33" s="149"/>
      <c r="AP33" s="149"/>
      <c r="AQ33" s="149"/>
      <c r="AR33" s="149"/>
      <c r="AS33" s="149"/>
      <c r="AT33" s="149"/>
      <c r="AU33" s="149"/>
      <c r="AV33" s="149"/>
      <c r="AW33" s="149"/>
      <c r="AX33" s="149"/>
      <c r="AY33" s="149"/>
      <c r="AZ33" s="149"/>
      <c r="BA33" s="149"/>
      <c r="BB33" s="149"/>
      <c r="BC33" s="149"/>
      <c r="BD33" s="149"/>
      <c r="BE33" s="149"/>
      <c r="BF33" s="149"/>
      <c r="BG33" s="149"/>
      <c r="BH33" s="149"/>
      <c r="BI33" s="149"/>
      <c r="BJ33" s="149"/>
      <c r="BK33" s="149"/>
      <c r="BL33" s="149"/>
      <c r="BM33" s="149"/>
      <c r="BN33" s="149"/>
      <c r="BO33" s="149"/>
      <c r="BP33" s="149"/>
      <c r="BQ33" s="149"/>
      <c r="BR33" s="149"/>
      <c r="BS33" s="149"/>
      <c r="BT33" s="149"/>
      <c r="BU33" s="149"/>
      <c r="BV33" s="149"/>
      <c r="BW33" s="149"/>
      <c r="BX33" s="149"/>
      <c r="BY33" s="149"/>
      <c r="BZ33" s="149"/>
      <c r="CA33" s="149"/>
      <c r="CB33" s="149"/>
      <c r="CC33" s="149"/>
      <c r="CD33" s="149"/>
      <c r="CE33" s="149"/>
      <c r="CF33" s="149"/>
      <c r="CG33" s="149"/>
      <c r="CH33" s="149"/>
      <c r="CI33" s="149"/>
      <c r="CJ33" s="149"/>
      <c r="CK33" s="149"/>
      <c r="CL33" s="149"/>
      <c r="CM33" s="149"/>
      <c r="CN33" s="149"/>
      <c r="CO33" s="149"/>
      <c r="CP33" s="149"/>
      <c r="CQ33" s="149"/>
      <c r="CR33" s="149"/>
      <c r="CS33" s="149"/>
      <c r="CT33" s="149"/>
      <c r="CU33" s="149"/>
      <c r="CV33" s="149"/>
      <c r="CW33" s="149"/>
      <c r="CX33" s="149"/>
      <c r="CY33" s="150"/>
    </row>
    <row r="34" spans="1:103" s="1" customFormat="1" ht="48" customHeight="1" x14ac:dyDescent="0.25">
      <c r="A34" s="1995"/>
      <c r="B34" s="2000"/>
      <c r="C34" s="143" t="s">
        <v>187</v>
      </c>
      <c r="D34" s="144" t="s">
        <v>232</v>
      </c>
      <c r="E34" s="148">
        <v>1</v>
      </c>
      <c r="F34" s="149">
        <v>0.9</v>
      </c>
      <c r="G34" s="149">
        <v>0.7</v>
      </c>
      <c r="H34" s="149">
        <v>0.9</v>
      </c>
      <c r="I34" s="149">
        <v>1</v>
      </c>
      <c r="J34" s="149">
        <v>1</v>
      </c>
      <c r="K34" s="149">
        <v>1</v>
      </c>
      <c r="L34" s="149"/>
      <c r="M34" s="149"/>
      <c r="N34" s="149"/>
      <c r="O34" s="149"/>
      <c r="P34" s="149"/>
      <c r="Q34" s="149"/>
      <c r="R34" s="149"/>
      <c r="S34" s="149"/>
      <c r="T34" s="149"/>
      <c r="U34" s="149"/>
      <c r="V34" s="149"/>
      <c r="W34" s="149"/>
      <c r="X34" s="149"/>
      <c r="Y34" s="149"/>
      <c r="Z34" s="149"/>
      <c r="AA34" s="149"/>
      <c r="AB34" s="149"/>
      <c r="AC34" s="149"/>
      <c r="AD34" s="149"/>
      <c r="AE34" s="149"/>
      <c r="AF34" s="149"/>
      <c r="AG34" s="149"/>
      <c r="AH34" s="149"/>
      <c r="AI34" s="149"/>
      <c r="AJ34" s="149"/>
      <c r="AK34" s="149"/>
      <c r="AL34" s="149"/>
      <c r="AM34" s="149"/>
      <c r="AN34" s="149"/>
      <c r="AO34" s="149"/>
      <c r="AP34" s="149"/>
      <c r="AQ34" s="149"/>
      <c r="AR34" s="149"/>
      <c r="AS34" s="149"/>
      <c r="AT34" s="149"/>
      <c r="AU34" s="149"/>
      <c r="AV34" s="149"/>
      <c r="AW34" s="149"/>
      <c r="AX34" s="149"/>
      <c r="AY34" s="149"/>
      <c r="AZ34" s="149"/>
      <c r="BA34" s="149"/>
      <c r="BB34" s="149"/>
      <c r="BC34" s="149"/>
      <c r="BD34" s="149"/>
      <c r="BE34" s="149"/>
      <c r="BF34" s="149"/>
      <c r="BG34" s="149"/>
      <c r="BH34" s="149"/>
      <c r="BI34" s="149"/>
      <c r="BJ34" s="149"/>
      <c r="BK34" s="149"/>
      <c r="BL34" s="149"/>
      <c r="BM34" s="149"/>
      <c r="BN34" s="149"/>
      <c r="BO34" s="149"/>
      <c r="BP34" s="149"/>
      <c r="BQ34" s="149"/>
      <c r="BR34" s="149"/>
      <c r="BS34" s="149"/>
      <c r="BT34" s="149"/>
      <c r="BU34" s="149"/>
      <c r="BV34" s="149"/>
      <c r="BW34" s="149"/>
      <c r="BX34" s="149"/>
      <c r="BY34" s="149"/>
      <c r="BZ34" s="149"/>
      <c r="CA34" s="149"/>
      <c r="CB34" s="149"/>
      <c r="CC34" s="149"/>
      <c r="CD34" s="149"/>
      <c r="CE34" s="149"/>
      <c r="CF34" s="149"/>
      <c r="CG34" s="149"/>
      <c r="CH34" s="149"/>
      <c r="CI34" s="149"/>
      <c r="CJ34" s="149"/>
      <c r="CK34" s="149"/>
      <c r="CL34" s="149"/>
      <c r="CM34" s="149"/>
      <c r="CN34" s="149"/>
      <c r="CO34" s="149"/>
      <c r="CP34" s="149"/>
      <c r="CQ34" s="149"/>
      <c r="CR34" s="149"/>
      <c r="CS34" s="149"/>
      <c r="CT34" s="149"/>
      <c r="CU34" s="149"/>
      <c r="CV34" s="149"/>
      <c r="CW34" s="149"/>
      <c r="CX34" s="149"/>
      <c r="CY34" s="150"/>
    </row>
    <row r="35" spans="1:103" s="1" customFormat="1" ht="30" customHeight="1" x14ac:dyDescent="0.25">
      <c r="A35" s="1995"/>
      <c r="B35" s="2000"/>
      <c r="C35" s="143" t="s">
        <v>187</v>
      </c>
      <c r="D35" s="2001" t="s">
        <v>233</v>
      </c>
      <c r="E35" s="148"/>
      <c r="F35" s="149"/>
      <c r="G35" s="149"/>
      <c r="H35" s="149"/>
      <c r="I35" s="149"/>
      <c r="J35" s="149"/>
      <c r="K35" s="149"/>
      <c r="L35" s="149"/>
      <c r="M35" s="149"/>
      <c r="N35" s="149"/>
      <c r="O35" s="149"/>
      <c r="P35" s="149"/>
      <c r="Q35" s="149"/>
      <c r="R35" s="149"/>
      <c r="S35" s="149"/>
      <c r="T35" s="149"/>
      <c r="U35" s="149"/>
      <c r="V35" s="149"/>
      <c r="W35" s="149"/>
      <c r="X35" s="149"/>
      <c r="Y35" s="149"/>
      <c r="Z35" s="149"/>
      <c r="AA35" s="149"/>
      <c r="AB35" s="149"/>
      <c r="AC35" s="149"/>
      <c r="AD35" s="149"/>
      <c r="AE35" s="149"/>
      <c r="AF35" s="149"/>
      <c r="AG35" s="149"/>
      <c r="AH35" s="149"/>
      <c r="AI35" s="149"/>
      <c r="AJ35" s="149"/>
      <c r="AK35" s="149"/>
      <c r="AL35" s="149"/>
      <c r="AM35" s="149"/>
      <c r="AN35" s="149"/>
      <c r="AO35" s="149"/>
      <c r="AP35" s="149"/>
      <c r="AQ35" s="149"/>
      <c r="AR35" s="149"/>
      <c r="AS35" s="149"/>
      <c r="AT35" s="149"/>
      <c r="AU35" s="149"/>
      <c r="AV35" s="149"/>
      <c r="AW35" s="149"/>
      <c r="AX35" s="149"/>
      <c r="AY35" s="149"/>
      <c r="AZ35" s="149"/>
      <c r="BA35" s="149"/>
      <c r="BB35" s="149"/>
      <c r="BC35" s="149"/>
      <c r="BD35" s="149"/>
      <c r="BE35" s="149"/>
      <c r="BF35" s="149"/>
      <c r="BG35" s="149"/>
      <c r="BH35" s="149"/>
      <c r="BI35" s="149"/>
      <c r="BJ35" s="149"/>
      <c r="BK35" s="149"/>
      <c r="BL35" s="149"/>
      <c r="BM35" s="149"/>
      <c r="BN35" s="149"/>
      <c r="BO35" s="149"/>
      <c r="BP35" s="149"/>
      <c r="BQ35" s="149"/>
      <c r="BR35" s="149"/>
      <c r="BS35" s="149"/>
      <c r="BT35" s="149"/>
      <c r="BU35" s="149"/>
      <c r="BV35" s="149"/>
      <c r="BW35" s="149"/>
      <c r="BX35" s="149"/>
      <c r="BY35" s="149"/>
      <c r="BZ35" s="149"/>
      <c r="CA35" s="149"/>
      <c r="CB35" s="149"/>
      <c r="CC35" s="149"/>
      <c r="CD35" s="149"/>
      <c r="CE35" s="149"/>
      <c r="CF35" s="149"/>
      <c r="CG35" s="149"/>
      <c r="CH35" s="149"/>
      <c r="CI35" s="149"/>
      <c r="CJ35" s="149"/>
      <c r="CK35" s="149"/>
      <c r="CL35" s="149"/>
      <c r="CM35" s="149"/>
      <c r="CN35" s="149"/>
      <c r="CO35" s="149"/>
      <c r="CP35" s="149"/>
      <c r="CQ35" s="149"/>
      <c r="CR35" s="149"/>
      <c r="CS35" s="149"/>
      <c r="CT35" s="149"/>
      <c r="CU35" s="149"/>
      <c r="CV35" s="149"/>
      <c r="CW35" s="149"/>
      <c r="CX35" s="149"/>
      <c r="CY35" s="150"/>
    </row>
    <row r="36" spans="1:103" s="1" customFormat="1" ht="30.75" customHeight="1" x14ac:dyDescent="0.25">
      <c r="A36" s="1996"/>
      <c r="B36" s="2000"/>
      <c r="C36" s="143" t="s">
        <v>193</v>
      </c>
      <c r="D36" s="2002"/>
      <c r="E36" s="148">
        <v>1</v>
      </c>
      <c r="F36" s="149">
        <v>1</v>
      </c>
      <c r="G36" s="149">
        <v>1</v>
      </c>
      <c r="H36" s="149">
        <v>1</v>
      </c>
      <c r="I36" s="149">
        <v>1</v>
      </c>
      <c r="J36" s="149">
        <v>1</v>
      </c>
      <c r="K36" s="149">
        <v>1</v>
      </c>
      <c r="L36" s="149"/>
      <c r="M36" s="149"/>
      <c r="N36" s="149"/>
      <c r="O36" s="149"/>
      <c r="P36" s="149"/>
      <c r="Q36" s="149"/>
      <c r="R36" s="149"/>
      <c r="S36" s="149"/>
      <c r="T36" s="149"/>
      <c r="U36" s="149"/>
      <c r="V36" s="149"/>
      <c r="W36" s="149"/>
      <c r="X36" s="149"/>
      <c r="Y36" s="149"/>
      <c r="Z36" s="149"/>
      <c r="AA36" s="149"/>
      <c r="AB36" s="149"/>
      <c r="AC36" s="149"/>
      <c r="AD36" s="149"/>
      <c r="AE36" s="149"/>
      <c r="AF36" s="149"/>
      <c r="AG36" s="149"/>
      <c r="AH36" s="149"/>
      <c r="AI36" s="149"/>
      <c r="AJ36" s="149"/>
      <c r="AK36" s="149"/>
      <c r="AL36" s="149"/>
      <c r="AM36" s="149"/>
      <c r="AN36" s="149"/>
      <c r="AO36" s="149"/>
      <c r="AP36" s="149"/>
      <c r="AQ36" s="149"/>
      <c r="AR36" s="149"/>
      <c r="AS36" s="149"/>
      <c r="AT36" s="149"/>
      <c r="AU36" s="149"/>
      <c r="AV36" s="149"/>
      <c r="AW36" s="149"/>
      <c r="AX36" s="149"/>
      <c r="AY36" s="149"/>
      <c r="AZ36" s="149"/>
      <c r="BA36" s="149"/>
      <c r="BB36" s="149"/>
      <c r="BC36" s="149"/>
      <c r="BD36" s="149"/>
      <c r="BE36" s="149"/>
      <c r="BF36" s="149"/>
      <c r="BG36" s="149"/>
      <c r="BH36" s="149"/>
      <c r="BI36" s="149"/>
      <c r="BJ36" s="149"/>
      <c r="BK36" s="149"/>
      <c r="BL36" s="149"/>
      <c r="BM36" s="149"/>
      <c r="BN36" s="149"/>
      <c r="BO36" s="149"/>
      <c r="BP36" s="149"/>
      <c r="BQ36" s="149"/>
      <c r="BR36" s="149"/>
      <c r="BS36" s="149"/>
      <c r="BT36" s="149"/>
      <c r="BU36" s="149"/>
      <c r="BV36" s="149"/>
      <c r="BW36" s="149"/>
      <c r="BX36" s="149"/>
      <c r="BY36" s="149"/>
      <c r="BZ36" s="149"/>
      <c r="CA36" s="149"/>
      <c r="CB36" s="149"/>
      <c r="CC36" s="149"/>
      <c r="CD36" s="149"/>
      <c r="CE36" s="149"/>
      <c r="CF36" s="149"/>
      <c r="CG36" s="149"/>
      <c r="CH36" s="149"/>
      <c r="CI36" s="149"/>
      <c r="CJ36" s="149"/>
      <c r="CK36" s="149"/>
      <c r="CL36" s="149"/>
      <c r="CM36" s="149"/>
      <c r="CN36" s="149"/>
      <c r="CO36" s="149"/>
      <c r="CP36" s="149"/>
      <c r="CQ36" s="149"/>
      <c r="CR36" s="149"/>
      <c r="CS36" s="149"/>
      <c r="CT36" s="149"/>
      <c r="CU36" s="149"/>
      <c r="CV36" s="149"/>
      <c r="CW36" s="149"/>
      <c r="CX36" s="149"/>
      <c r="CY36" s="150"/>
    </row>
    <row r="37" spans="1:103" s="1" customFormat="1" ht="59.25" customHeight="1" x14ac:dyDescent="0.25">
      <c r="A37" s="2003" t="s">
        <v>234</v>
      </c>
      <c r="B37" s="1993" t="s">
        <v>235</v>
      </c>
      <c r="C37" s="151" t="s">
        <v>193</v>
      </c>
      <c r="D37" s="152" t="s">
        <v>236</v>
      </c>
      <c r="E37" s="247">
        <v>0.9</v>
      </c>
      <c r="F37" s="248">
        <v>0.9</v>
      </c>
      <c r="G37" s="248">
        <v>0.8</v>
      </c>
      <c r="H37" s="248">
        <v>0.9</v>
      </c>
      <c r="I37" s="248">
        <v>1</v>
      </c>
      <c r="J37" s="248">
        <v>0.7</v>
      </c>
      <c r="K37" s="248">
        <v>0.7</v>
      </c>
      <c r="L37" s="248"/>
      <c r="M37" s="248"/>
      <c r="N37" s="248"/>
      <c r="O37" s="248"/>
      <c r="P37" s="248"/>
      <c r="Q37" s="248"/>
      <c r="R37" s="248"/>
      <c r="S37" s="248"/>
      <c r="T37" s="248"/>
      <c r="U37" s="248"/>
      <c r="V37" s="248"/>
      <c r="W37" s="248"/>
      <c r="X37" s="248"/>
      <c r="Y37" s="248"/>
      <c r="Z37" s="248"/>
      <c r="AA37" s="248"/>
      <c r="AB37" s="248"/>
      <c r="AC37" s="248"/>
      <c r="AD37" s="248"/>
      <c r="AE37" s="248"/>
      <c r="AF37" s="248"/>
      <c r="AG37" s="248"/>
      <c r="AH37" s="248"/>
      <c r="AI37" s="248"/>
      <c r="AJ37" s="248"/>
      <c r="AK37" s="248"/>
      <c r="AL37" s="248"/>
      <c r="AM37" s="248"/>
      <c r="AN37" s="248"/>
      <c r="AO37" s="248"/>
      <c r="AP37" s="248"/>
      <c r="AQ37" s="248"/>
      <c r="AR37" s="248"/>
      <c r="AS37" s="248"/>
      <c r="AT37" s="248"/>
      <c r="AU37" s="248"/>
      <c r="AV37" s="248"/>
      <c r="AW37" s="248"/>
      <c r="AX37" s="248"/>
      <c r="AY37" s="248"/>
      <c r="AZ37" s="248"/>
      <c r="BA37" s="248"/>
      <c r="BB37" s="248"/>
      <c r="BC37" s="248"/>
      <c r="BD37" s="248"/>
      <c r="BE37" s="248"/>
      <c r="BF37" s="248"/>
      <c r="BG37" s="248"/>
      <c r="BH37" s="248"/>
      <c r="BI37" s="248"/>
      <c r="BJ37" s="248"/>
      <c r="BK37" s="248"/>
      <c r="BL37" s="248"/>
      <c r="BM37" s="248"/>
      <c r="BN37" s="248"/>
      <c r="BO37" s="248"/>
      <c r="BP37" s="248"/>
      <c r="BQ37" s="248"/>
      <c r="BR37" s="248"/>
      <c r="BS37" s="248"/>
      <c r="BT37" s="248"/>
      <c r="BU37" s="248"/>
      <c r="BV37" s="248"/>
      <c r="BW37" s="248"/>
      <c r="BX37" s="248"/>
      <c r="BY37" s="248"/>
      <c r="BZ37" s="248"/>
      <c r="CA37" s="248"/>
      <c r="CB37" s="248"/>
      <c r="CC37" s="248"/>
      <c r="CD37" s="248"/>
      <c r="CE37" s="248"/>
      <c r="CF37" s="248"/>
      <c r="CG37" s="248"/>
      <c r="CH37" s="248"/>
      <c r="CI37" s="248"/>
      <c r="CJ37" s="248"/>
      <c r="CK37" s="248"/>
      <c r="CL37" s="248"/>
      <c r="CM37" s="248"/>
      <c r="CN37" s="248"/>
      <c r="CO37" s="248"/>
      <c r="CP37" s="248"/>
      <c r="CQ37" s="248"/>
      <c r="CR37" s="248"/>
      <c r="CS37" s="248"/>
      <c r="CT37" s="248"/>
      <c r="CU37" s="248"/>
      <c r="CV37" s="248"/>
      <c r="CW37" s="248"/>
      <c r="CX37" s="248"/>
      <c r="CY37" s="249"/>
    </row>
    <row r="38" spans="1:103" s="1" customFormat="1" ht="39" customHeight="1" x14ac:dyDescent="0.25">
      <c r="A38" s="2003"/>
      <c r="B38" s="1993"/>
      <c r="C38" s="151" t="s">
        <v>227</v>
      </c>
      <c r="D38" s="1991" t="s">
        <v>237</v>
      </c>
      <c r="E38" s="247">
        <v>1</v>
      </c>
      <c r="F38" s="248">
        <v>0.9</v>
      </c>
      <c r="G38" s="248">
        <v>0.9</v>
      </c>
      <c r="H38" s="248">
        <v>0.8</v>
      </c>
      <c r="I38" s="248">
        <v>1</v>
      </c>
      <c r="J38" s="248">
        <v>1</v>
      </c>
      <c r="K38" s="248">
        <v>1</v>
      </c>
      <c r="L38" s="248"/>
      <c r="M38" s="248"/>
      <c r="N38" s="248"/>
      <c r="O38" s="248"/>
      <c r="P38" s="248"/>
      <c r="Q38" s="248"/>
      <c r="R38" s="248"/>
      <c r="S38" s="248"/>
      <c r="T38" s="248"/>
      <c r="U38" s="248"/>
      <c r="V38" s="248"/>
      <c r="W38" s="248"/>
      <c r="X38" s="248"/>
      <c r="Y38" s="248"/>
      <c r="Z38" s="248"/>
      <c r="AA38" s="248"/>
      <c r="AB38" s="248"/>
      <c r="AC38" s="248"/>
      <c r="AD38" s="248"/>
      <c r="AE38" s="248"/>
      <c r="AF38" s="248"/>
      <c r="AG38" s="248"/>
      <c r="AH38" s="248"/>
      <c r="AI38" s="248"/>
      <c r="AJ38" s="248"/>
      <c r="AK38" s="248"/>
      <c r="AL38" s="248"/>
      <c r="AM38" s="248"/>
      <c r="AN38" s="248"/>
      <c r="AO38" s="248"/>
      <c r="AP38" s="248"/>
      <c r="AQ38" s="248"/>
      <c r="AR38" s="248"/>
      <c r="AS38" s="248"/>
      <c r="AT38" s="248"/>
      <c r="AU38" s="248"/>
      <c r="AV38" s="248"/>
      <c r="AW38" s="248"/>
      <c r="AX38" s="248"/>
      <c r="AY38" s="248"/>
      <c r="AZ38" s="248"/>
      <c r="BA38" s="248"/>
      <c r="BB38" s="248"/>
      <c r="BC38" s="248"/>
      <c r="BD38" s="248"/>
      <c r="BE38" s="248"/>
      <c r="BF38" s="248"/>
      <c r="BG38" s="248"/>
      <c r="BH38" s="248"/>
      <c r="BI38" s="248"/>
      <c r="BJ38" s="248"/>
      <c r="BK38" s="248"/>
      <c r="BL38" s="248"/>
      <c r="BM38" s="248"/>
      <c r="BN38" s="248"/>
      <c r="BO38" s="248"/>
      <c r="BP38" s="248"/>
      <c r="BQ38" s="248"/>
      <c r="BR38" s="248"/>
      <c r="BS38" s="248"/>
      <c r="BT38" s="248"/>
      <c r="BU38" s="248"/>
      <c r="BV38" s="248"/>
      <c r="BW38" s="248"/>
      <c r="BX38" s="248"/>
      <c r="BY38" s="248"/>
      <c r="BZ38" s="248"/>
      <c r="CA38" s="248"/>
      <c r="CB38" s="248"/>
      <c r="CC38" s="248"/>
      <c r="CD38" s="248"/>
      <c r="CE38" s="248"/>
      <c r="CF38" s="248"/>
      <c r="CG38" s="248"/>
      <c r="CH38" s="248"/>
      <c r="CI38" s="248"/>
      <c r="CJ38" s="248"/>
      <c r="CK38" s="248"/>
      <c r="CL38" s="248"/>
      <c r="CM38" s="248"/>
      <c r="CN38" s="248"/>
      <c r="CO38" s="248"/>
      <c r="CP38" s="248"/>
      <c r="CQ38" s="248"/>
      <c r="CR38" s="248"/>
      <c r="CS38" s="248"/>
      <c r="CT38" s="248"/>
      <c r="CU38" s="248"/>
      <c r="CV38" s="248"/>
      <c r="CW38" s="248"/>
      <c r="CX38" s="248"/>
      <c r="CY38" s="249"/>
    </row>
    <row r="39" spans="1:103" s="1" customFormat="1" ht="33.75" customHeight="1" x14ac:dyDescent="0.25">
      <c r="A39" s="2003"/>
      <c r="B39" s="1993"/>
      <c r="C39" s="151" t="s">
        <v>195</v>
      </c>
      <c r="D39" s="1992"/>
      <c r="E39" s="247">
        <v>0.8</v>
      </c>
      <c r="F39" s="248">
        <v>0.9</v>
      </c>
      <c r="G39" s="248">
        <v>0.7</v>
      </c>
      <c r="H39" s="248">
        <v>0.8</v>
      </c>
      <c r="I39" s="248">
        <v>1</v>
      </c>
      <c r="J39" s="248">
        <v>1</v>
      </c>
      <c r="K39" s="248">
        <v>1</v>
      </c>
      <c r="L39" s="248"/>
      <c r="M39" s="248"/>
      <c r="N39" s="248"/>
      <c r="O39" s="248"/>
      <c r="P39" s="248"/>
      <c r="Q39" s="248"/>
      <c r="R39" s="248"/>
      <c r="S39" s="248"/>
      <c r="T39" s="248"/>
      <c r="U39" s="248"/>
      <c r="V39" s="248"/>
      <c r="W39" s="248"/>
      <c r="X39" s="248"/>
      <c r="Y39" s="248"/>
      <c r="Z39" s="248"/>
      <c r="AA39" s="248"/>
      <c r="AB39" s="248"/>
      <c r="AC39" s="248"/>
      <c r="AD39" s="248"/>
      <c r="AE39" s="248"/>
      <c r="AF39" s="248"/>
      <c r="AG39" s="248"/>
      <c r="AH39" s="248"/>
      <c r="AI39" s="248"/>
      <c r="AJ39" s="248"/>
      <c r="AK39" s="248"/>
      <c r="AL39" s="248"/>
      <c r="AM39" s="248"/>
      <c r="AN39" s="248"/>
      <c r="AO39" s="248"/>
      <c r="AP39" s="248"/>
      <c r="AQ39" s="248"/>
      <c r="AR39" s="248"/>
      <c r="AS39" s="248"/>
      <c r="AT39" s="248"/>
      <c r="AU39" s="248"/>
      <c r="AV39" s="248"/>
      <c r="AW39" s="248"/>
      <c r="AX39" s="248"/>
      <c r="AY39" s="248"/>
      <c r="AZ39" s="248"/>
      <c r="BA39" s="248"/>
      <c r="BB39" s="248"/>
      <c r="BC39" s="248"/>
      <c r="BD39" s="248"/>
      <c r="BE39" s="248"/>
      <c r="BF39" s="248"/>
      <c r="BG39" s="248"/>
      <c r="BH39" s="248"/>
      <c r="BI39" s="248"/>
      <c r="BJ39" s="248"/>
      <c r="BK39" s="248"/>
      <c r="BL39" s="248"/>
      <c r="BM39" s="248"/>
      <c r="BN39" s="248"/>
      <c r="BO39" s="248"/>
      <c r="BP39" s="248"/>
      <c r="BQ39" s="248"/>
      <c r="BR39" s="248"/>
      <c r="BS39" s="248"/>
      <c r="BT39" s="248"/>
      <c r="BU39" s="248"/>
      <c r="BV39" s="248"/>
      <c r="BW39" s="248"/>
      <c r="BX39" s="248"/>
      <c r="BY39" s="248"/>
      <c r="BZ39" s="248"/>
      <c r="CA39" s="248"/>
      <c r="CB39" s="248"/>
      <c r="CC39" s="248"/>
      <c r="CD39" s="248"/>
      <c r="CE39" s="248"/>
      <c r="CF39" s="248"/>
      <c r="CG39" s="248"/>
      <c r="CH39" s="248"/>
      <c r="CI39" s="248"/>
      <c r="CJ39" s="248"/>
      <c r="CK39" s="248"/>
      <c r="CL39" s="248"/>
      <c r="CM39" s="248"/>
      <c r="CN39" s="248"/>
      <c r="CO39" s="248"/>
      <c r="CP39" s="248"/>
      <c r="CQ39" s="248"/>
      <c r="CR39" s="248"/>
      <c r="CS39" s="248"/>
      <c r="CT39" s="248"/>
      <c r="CU39" s="248"/>
      <c r="CV39" s="248"/>
      <c r="CW39" s="248"/>
      <c r="CX39" s="248"/>
      <c r="CY39" s="249"/>
    </row>
    <row r="40" spans="1:103" s="1" customFormat="1" ht="23.25" customHeight="1" x14ac:dyDescent="0.25">
      <c r="A40" s="2003"/>
      <c r="B40" s="1993"/>
      <c r="C40" s="151" t="s">
        <v>227</v>
      </c>
      <c r="D40" s="1991" t="s">
        <v>238</v>
      </c>
      <c r="E40" s="247"/>
      <c r="F40" s="248"/>
      <c r="G40" s="248"/>
      <c r="H40" s="248"/>
      <c r="I40" s="248"/>
      <c r="J40" s="248"/>
      <c r="K40" s="248"/>
      <c r="L40" s="248"/>
      <c r="M40" s="248"/>
      <c r="N40" s="248"/>
      <c r="O40" s="248"/>
      <c r="P40" s="248"/>
      <c r="Q40" s="248"/>
      <c r="R40" s="248"/>
      <c r="S40" s="248"/>
      <c r="T40" s="248"/>
      <c r="U40" s="248"/>
      <c r="V40" s="248"/>
      <c r="W40" s="248"/>
      <c r="X40" s="248"/>
      <c r="Y40" s="248"/>
      <c r="Z40" s="248"/>
      <c r="AA40" s="248"/>
      <c r="AB40" s="248"/>
      <c r="AC40" s="248"/>
      <c r="AD40" s="248"/>
      <c r="AE40" s="248"/>
      <c r="AF40" s="248"/>
      <c r="AG40" s="248"/>
      <c r="AH40" s="248"/>
      <c r="AI40" s="248"/>
      <c r="AJ40" s="248"/>
      <c r="AK40" s="248"/>
      <c r="AL40" s="248"/>
      <c r="AM40" s="248"/>
      <c r="AN40" s="248"/>
      <c r="AO40" s="248"/>
      <c r="AP40" s="248"/>
      <c r="AQ40" s="248"/>
      <c r="AR40" s="248"/>
      <c r="AS40" s="248"/>
      <c r="AT40" s="248"/>
      <c r="AU40" s="248"/>
      <c r="AV40" s="248"/>
      <c r="AW40" s="248"/>
      <c r="AX40" s="248"/>
      <c r="AY40" s="248"/>
      <c r="AZ40" s="248"/>
      <c r="BA40" s="248"/>
      <c r="BB40" s="248"/>
      <c r="BC40" s="248"/>
      <c r="BD40" s="248"/>
      <c r="BE40" s="248"/>
      <c r="BF40" s="248"/>
      <c r="BG40" s="248"/>
      <c r="BH40" s="248"/>
      <c r="BI40" s="248"/>
      <c r="BJ40" s="248"/>
      <c r="BK40" s="248"/>
      <c r="BL40" s="248"/>
      <c r="BM40" s="248"/>
      <c r="BN40" s="248"/>
      <c r="BO40" s="248"/>
      <c r="BP40" s="248"/>
      <c r="BQ40" s="248"/>
      <c r="BR40" s="248"/>
      <c r="BS40" s="248"/>
      <c r="BT40" s="248"/>
      <c r="BU40" s="248"/>
      <c r="BV40" s="248"/>
      <c r="BW40" s="248"/>
      <c r="BX40" s="248"/>
      <c r="BY40" s="248"/>
      <c r="BZ40" s="248"/>
      <c r="CA40" s="248"/>
      <c r="CB40" s="248"/>
      <c r="CC40" s="248"/>
      <c r="CD40" s="248"/>
      <c r="CE40" s="248"/>
      <c r="CF40" s="248"/>
      <c r="CG40" s="248"/>
      <c r="CH40" s="248"/>
      <c r="CI40" s="248"/>
      <c r="CJ40" s="248"/>
      <c r="CK40" s="248"/>
      <c r="CL40" s="248"/>
      <c r="CM40" s="248"/>
      <c r="CN40" s="248"/>
      <c r="CO40" s="248"/>
      <c r="CP40" s="248"/>
      <c r="CQ40" s="248"/>
      <c r="CR40" s="248"/>
      <c r="CS40" s="248"/>
      <c r="CT40" s="248"/>
      <c r="CU40" s="248"/>
      <c r="CV40" s="248"/>
      <c r="CW40" s="248"/>
      <c r="CX40" s="248"/>
      <c r="CY40" s="249"/>
    </row>
    <row r="41" spans="1:103" s="1" customFormat="1" ht="24.75" customHeight="1" x14ac:dyDescent="0.25">
      <c r="A41" s="2003"/>
      <c r="B41" s="1993"/>
      <c r="C41" s="151" t="s">
        <v>195</v>
      </c>
      <c r="D41" s="1992"/>
      <c r="E41" s="247">
        <v>1</v>
      </c>
      <c r="F41" s="248"/>
      <c r="G41" s="248"/>
      <c r="H41" s="248"/>
      <c r="I41" s="248"/>
      <c r="J41" s="248"/>
      <c r="K41" s="248"/>
      <c r="L41" s="248"/>
      <c r="M41" s="248"/>
      <c r="N41" s="248"/>
      <c r="O41" s="248"/>
      <c r="P41" s="248"/>
      <c r="Q41" s="248"/>
      <c r="R41" s="248"/>
      <c r="S41" s="248"/>
      <c r="T41" s="248"/>
      <c r="U41" s="248"/>
      <c r="V41" s="248"/>
      <c r="W41" s="248"/>
      <c r="X41" s="248"/>
      <c r="Y41" s="248"/>
      <c r="Z41" s="248"/>
      <c r="AA41" s="248"/>
      <c r="AB41" s="248"/>
      <c r="AC41" s="248"/>
      <c r="AD41" s="248"/>
      <c r="AE41" s="248"/>
      <c r="AF41" s="248"/>
      <c r="AG41" s="248"/>
      <c r="AH41" s="248"/>
      <c r="AI41" s="248"/>
      <c r="AJ41" s="248"/>
      <c r="AK41" s="248"/>
      <c r="AL41" s="248"/>
      <c r="AM41" s="248"/>
      <c r="AN41" s="248"/>
      <c r="AO41" s="248"/>
      <c r="AP41" s="248"/>
      <c r="AQ41" s="248"/>
      <c r="AR41" s="248"/>
      <c r="AS41" s="248"/>
      <c r="AT41" s="248"/>
      <c r="AU41" s="248"/>
      <c r="AV41" s="248"/>
      <c r="AW41" s="248"/>
      <c r="AX41" s="248"/>
      <c r="AY41" s="248"/>
      <c r="AZ41" s="248"/>
      <c r="BA41" s="248"/>
      <c r="BB41" s="248"/>
      <c r="BC41" s="248"/>
      <c r="BD41" s="248"/>
      <c r="BE41" s="248"/>
      <c r="BF41" s="248"/>
      <c r="BG41" s="248"/>
      <c r="BH41" s="248"/>
      <c r="BI41" s="248"/>
      <c r="BJ41" s="248"/>
      <c r="BK41" s="248"/>
      <c r="BL41" s="248"/>
      <c r="BM41" s="248"/>
      <c r="BN41" s="248"/>
      <c r="BO41" s="248"/>
      <c r="BP41" s="248"/>
      <c r="BQ41" s="248"/>
      <c r="BR41" s="248"/>
      <c r="BS41" s="248"/>
      <c r="BT41" s="248"/>
      <c r="BU41" s="248"/>
      <c r="BV41" s="248"/>
      <c r="BW41" s="248"/>
      <c r="BX41" s="248"/>
      <c r="BY41" s="248"/>
      <c r="BZ41" s="248"/>
      <c r="CA41" s="248"/>
      <c r="CB41" s="248"/>
      <c r="CC41" s="248"/>
      <c r="CD41" s="248"/>
      <c r="CE41" s="248"/>
      <c r="CF41" s="248"/>
      <c r="CG41" s="248"/>
      <c r="CH41" s="248"/>
      <c r="CI41" s="248"/>
      <c r="CJ41" s="248"/>
      <c r="CK41" s="248"/>
      <c r="CL41" s="248"/>
      <c r="CM41" s="248"/>
      <c r="CN41" s="248"/>
      <c r="CO41" s="248"/>
      <c r="CP41" s="248"/>
      <c r="CQ41" s="248"/>
      <c r="CR41" s="248"/>
      <c r="CS41" s="248"/>
      <c r="CT41" s="248"/>
      <c r="CU41" s="248"/>
      <c r="CV41" s="248"/>
      <c r="CW41" s="248"/>
      <c r="CX41" s="248"/>
      <c r="CY41" s="249"/>
    </row>
    <row r="42" spans="1:103" s="1" customFormat="1" ht="39" customHeight="1" x14ac:dyDescent="0.25">
      <c r="A42" s="2003"/>
      <c r="B42" s="1993"/>
      <c r="C42" s="151" t="s">
        <v>187</v>
      </c>
      <c r="D42" s="152" t="s">
        <v>239</v>
      </c>
      <c r="E42" s="247">
        <v>1</v>
      </c>
      <c r="F42" s="248">
        <v>0.9</v>
      </c>
      <c r="G42" s="248">
        <v>0.8</v>
      </c>
      <c r="H42" s="248">
        <v>0.8</v>
      </c>
      <c r="I42" s="248">
        <v>1</v>
      </c>
      <c r="J42" s="248">
        <v>1</v>
      </c>
      <c r="K42" s="248">
        <v>1</v>
      </c>
      <c r="L42" s="248"/>
      <c r="M42" s="248"/>
      <c r="N42" s="248"/>
      <c r="O42" s="248"/>
      <c r="P42" s="248"/>
      <c r="Q42" s="248"/>
      <c r="R42" s="248"/>
      <c r="S42" s="248"/>
      <c r="T42" s="248"/>
      <c r="U42" s="248"/>
      <c r="V42" s="248"/>
      <c r="W42" s="248"/>
      <c r="X42" s="248"/>
      <c r="Y42" s="248"/>
      <c r="Z42" s="248"/>
      <c r="AA42" s="248"/>
      <c r="AB42" s="248"/>
      <c r="AC42" s="248"/>
      <c r="AD42" s="248"/>
      <c r="AE42" s="248"/>
      <c r="AF42" s="248"/>
      <c r="AG42" s="248"/>
      <c r="AH42" s="248"/>
      <c r="AI42" s="248"/>
      <c r="AJ42" s="248"/>
      <c r="AK42" s="248"/>
      <c r="AL42" s="248"/>
      <c r="AM42" s="248"/>
      <c r="AN42" s="248"/>
      <c r="AO42" s="248"/>
      <c r="AP42" s="248"/>
      <c r="AQ42" s="248"/>
      <c r="AR42" s="248"/>
      <c r="AS42" s="248"/>
      <c r="AT42" s="248"/>
      <c r="AU42" s="248"/>
      <c r="AV42" s="248"/>
      <c r="AW42" s="248"/>
      <c r="AX42" s="248"/>
      <c r="AY42" s="248"/>
      <c r="AZ42" s="248"/>
      <c r="BA42" s="248"/>
      <c r="BB42" s="248"/>
      <c r="BC42" s="248"/>
      <c r="BD42" s="248"/>
      <c r="BE42" s="248"/>
      <c r="BF42" s="248"/>
      <c r="BG42" s="248"/>
      <c r="BH42" s="248"/>
      <c r="BI42" s="248"/>
      <c r="BJ42" s="248"/>
      <c r="BK42" s="248"/>
      <c r="BL42" s="248"/>
      <c r="BM42" s="248"/>
      <c r="BN42" s="248"/>
      <c r="BO42" s="248"/>
      <c r="BP42" s="248"/>
      <c r="BQ42" s="248"/>
      <c r="BR42" s="248"/>
      <c r="BS42" s="248"/>
      <c r="BT42" s="248"/>
      <c r="BU42" s="248"/>
      <c r="BV42" s="248"/>
      <c r="BW42" s="248"/>
      <c r="BX42" s="248"/>
      <c r="BY42" s="248"/>
      <c r="BZ42" s="248"/>
      <c r="CA42" s="248"/>
      <c r="CB42" s="248"/>
      <c r="CC42" s="248"/>
      <c r="CD42" s="248"/>
      <c r="CE42" s="248"/>
      <c r="CF42" s="248"/>
      <c r="CG42" s="248"/>
      <c r="CH42" s="248"/>
      <c r="CI42" s="248"/>
      <c r="CJ42" s="248"/>
      <c r="CK42" s="248"/>
      <c r="CL42" s="248"/>
      <c r="CM42" s="248"/>
      <c r="CN42" s="248"/>
      <c r="CO42" s="248"/>
      <c r="CP42" s="248"/>
      <c r="CQ42" s="248"/>
      <c r="CR42" s="248"/>
      <c r="CS42" s="248"/>
      <c r="CT42" s="248"/>
      <c r="CU42" s="248"/>
      <c r="CV42" s="248"/>
      <c r="CW42" s="248"/>
      <c r="CX42" s="248"/>
      <c r="CY42" s="249"/>
    </row>
    <row r="43" spans="1:103" s="1" customFormat="1" ht="32.25" customHeight="1" x14ac:dyDescent="0.25">
      <c r="A43" s="2003"/>
      <c r="B43" s="1993"/>
      <c r="C43" s="151" t="s">
        <v>227</v>
      </c>
      <c r="D43" s="1991" t="s">
        <v>240</v>
      </c>
      <c r="E43" s="247">
        <v>1</v>
      </c>
      <c r="F43" s="248">
        <v>0.9</v>
      </c>
      <c r="G43" s="248">
        <v>0.8</v>
      </c>
      <c r="H43" s="248">
        <v>0.8</v>
      </c>
      <c r="I43" s="248">
        <v>1</v>
      </c>
      <c r="J43" s="248">
        <v>1</v>
      </c>
      <c r="K43" s="248">
        <v>1</v>
      </c>
      <c r="L43" s="248"/>
      <c r="M43" s="248"/>
      <c r="N43" s="248"/>
      <c r="O43" s="248"/>
      <c r="P43" s="248"/>
      <c r="Q43" s="248"/>
      <c r="R43" s="248"/>
      <c r="S43" s="248"/>
      <c r="T43" s="248"/>
      <c r="U43" s="248"/>
      <c r="V43" s="248"/>
      <c r="W43" s="248"/>
      <c r="X43" s="248"/>
      <c r="Y43" s="248"/>
      <c r="Z43" s="248"/>
      <c r="AA43" s="248"/>
      <c r="AB43" s="248"/>
      <c r="AC43" s="248"/>
      <c r="AD43" s="248"/>
      <c r="AE43" s="248"/>
      <c r="AF43" s="248"/>
      <c r="AG43" s="248"/>
      <c r="AH43" s="248"/>
      <c r="AI43" s="248"/>
      <c r="AJ43" s="248"/>
      <c r="AK43" s="248"/>
      <c r="AL43" s="248"/>
      <c r="AM43" s="248"/>
      <c r="AN43" s="248"/>
      <c r="AO43" s="248"/>
      <c r="AP43" s="248"/>
      <c r="AQ43" s="248"/>
      <c r="AR43" s="248"/>
      <c r="AS43" s="248"/>
      <c r="AT43" s="248"/>
      <c r="AU43" s="248"/>
      <c r="AV43" s="248"/>
      <c r="AW43" s="248"/>
      <c r="AX43" s="248"/>
      <c r="AY43" s="248"/>
      <c r="AZ43" s="248"/>
      <c r="BA43" s="248"/>
      <c r="BB43" s="248"/>
      <c r="BC43" s="248"/>
      <c r="BD43" s="248"/>
      <c r="BE43" s="248"/>
      <c r="BF43" s="248"/>
      <c r="BG43" s="248"/>
      <c r="BH43" s="248"/>
      <c r="BI43" s="248"/>
      <c r="BJ43" s="248"/>
      <c r="BK43" s="248"/>
      <c r="BL43" s="248"/>
      <c r="BM43" s="248"/>
      <c r="BN43" s="248"/>
      <c r="BO43" s="248"/>
      <c r="BP43" s="248"/>
      <c r="BQ43" s="248"/>
      <c r="BR43" s="248"/>
      <c r="BS43" s="248"/>
      <c r="BT43" s="248"/>
      <c r="BU43" s="248"/>
      <c r="BV43" s="248"/>
      <c r="BW43" s="248"/>
      <c r="BX43" s="248"/>
      <c r="BY43" s="248"/>
      <c r="BZ43" s="248"/>
      <c r="CA43" s="248"/>
      <c r="CB43" s="248"/>
      <c r="CC43" s="248"/>
      <c r="CD43" s="248"/>
      <c r="CE43" s="248"/>
      <c r="CF43" s="248"/>
      <c r="CG43" s="248"/>
      <c r="CH43" s="248"/>
      <c r="CI43" s="248"/>
      <c r="CJ43" s="248"/>
      <c r="CK43" s="248"/>
      <c r="CL43" s="248"/>
      <c r="CM43" s="248"/>
      <c r="CN43" s="248"/>
      <c r="CO43" s="248"/>
      <c r="CP43" s="248"/>
      <c r="CQ43" s="248"/>
      <c r="CR43" s="248"/>
      <c r="CS43" s="248"/>
      <c r="CT43" s="248"/>
      <c r="CU43" s="248"/>
      <c r="CV43" s="248"/>
      <c r="CW43" s="248"/>
      <c r="CX43" s="248"/>
      <c r="CY43" s="249"/>
    </row>
    <row r="44" spans="1:103" s="1" customFormat="1" ht="30" customHeight="1" x14ac:dyDescent="0.25">
      <c r="A44" s="2003"/>
      <c r="B44" s="1993"/>
      <c r="C44" s="151" t="s">
        <v>193</v>
      </c>
      <c r="D44" s="1992"/>
      <c r="E44" s="247">
        <v>1</v>
      </c>
      <c r="F44" s="248">
        <v>0.85</v>
      </c>
      <c r="G44" s="248">
        <v>1</v>
      </c>
      <c r="H44" s="248"/>
      <c r="I44" s="248">
        <v>1</v>
      </c>
      <c r="J44" s="248">
        <v>1</v>
      </c>
      <c r="K44" s="248">
        <v>1</v>
      </c>
      <c r="L44" s="248"/>
      <c r="M44" s="248"/>
      <c r="N44" s="248"/>
      <c r="O44" s="248"/>
      <c r="P44" s="248"/>
      <c r="Q44" s="248"/>
      <c r="R44" s="248"/>
      <c r="S44" s="248"/>
      <c r="T44" s="248"/>
      <c r="U44" s="248"/>
      <c r="V44" s="248"/>
      <c r="W44" s="248"/>
      <c r="X44" s="248"/>
      <c r="Y44" s="248"/>
      <c r="Z44" s="248"/>
      <c r="AA44" s="248"/>
      <c r="AB44" s="248"/>
      <c r="AC44" s="248"/>
      <c r="AD44" s="248"/>
      <c r="AE44" s="248"/>
      <c r="AF44" s="248"/>
      <c r="AG44" s="248"/>
      <c r="AH44" s="248"/>
      <c r="AI44" s="248"/>
      <c r="AJ44" s="248"/>
      <c r="AK44" s="248"/>
      <c r="AL44" s="248"/>
      <c r="AM44" s="248"/>
      <c r="AN44" s="248"/>
      <c r="AO44" s="248"/>
      <c r="AP44" s="248"/>
      <c r="AQ44" s="248"/>
      <c r="AR44" s="248"/>
      <c r="AS44" s="248"/>
      <c r="AT44" s="248"/>
      <c r="AU44" s="248"/>
      <c r="AV44" s="248"/>
      <c r="AW44" s="248"/>
      <c r="AX44" s="248"/>
      <c r="AY44" s="248"/>
      <c r="AZ44" s="248"/>
      <c r="BA44" s="248"/>
      <c r="BB44" s="248"/>
      <c r="BC44" s="248"/>
      <c r="BD44" s="248"/>
      <c r="BE44" s="248"/>
      <c r="BF44" s="248"/>
      <c r="BG44" s="248"/>
      <c r="BH44" s="248"/>
      <c r="BI44" s="248"/>
      <c r="BJ44" s="248"/>
      <c r="BK44" s="248"/>
      <c r="BL44" s="248"/>
      <c r="BM44" s="248"/>
      <c r="BN44" s="248"/>
      <c r="BO44" s="248"/>
      <c r="BP44" s="248"/>
      <c r="BQ44" s="248"/>
      <c r="BR44" s="248"/>
      <c r="BS44" s="248"/>
      <c r="BT44" s="248"/>
      <c r="BU44" s="248"/>
      <c r="BV44" s="248"/>
      <c r="BW44" s="248"/>
      <c r="BX44" s="248"/>
      <c r="BY44" s="248"/>
      <c r="BZ44" s="248"/>
      <c r="CA44" s="248"/>
      <c r="CB44" s="248"/>
      <c r="CC44" s="248"/>
      <c r="CD44" s="248"/>
      <c r="CE44" s="248"/>
      <c r="CF44" s="248"/>
      <c r="CG44" s="248"/>
      <c r="CH44" s="248"/>
      <c r="CI44" s="248"/>
      <c r="CJ44" s="248"/>
      <c r="CK44" s="248"/>
      <c r="CL44" s="248"/>
      <c r="CM44" s="248"/>
      <c r="CN44" s="248"/>
      <c r="CO44" s="248"/>
      <c r="CP44" s="248"/>
      <c r="CQ44" s="248"/>
      <c r="CR44" s="248"/>
      <c r="CS44" s="248"/>
      <c r="CT44" s="248"/>
      <c r="CU44" s="248"/>
      <c r="CV44" s="248"/>
      <c r="CW44" s="248"/>
      <c r="CX44" s="248"/>
      <c r="CY44" s="249"/>
    </row>
    <row r="45" spans="1:103" s="1" customFormat="1" ht="32.25" customHeight="1" x14ac:dyDescent="0.25">
      <c r="A45" s="2003"/>
      <c r="B45" s="1993" t="s">
        <v>241</v>
      </c>
      <c r="C45" s="151" t="s">
        <v>227</v>
      </c>
      <c r="D45" s="1991" t="s">
        <v>242</v>
      </c>
      <c r="E45" s="247">
        <v>1</v>
      </c>
      <c r="F45" s="248">
        <v>0.9</v>
      </c>
      <c r="G45" s="248">
        <v>0.85</v>
      </c>
      <c r="H45" s="248">
        <v>0.5</v>
      </c>
      <c r="I45" s="248">
        <v>1</v>
      </c>
      <c r="J45" s="248">
        <v>1</v>
      </c>
      <c r="K45" s="248">
        <v>1</v>
      </c>
      <c r="L45" s="248"/>
      <c r="M45" s="248"/>
      <c r="N45" s="248"/>
      <c r="O45" s="248"/>
      <c r="P45" s="248"/>
      <c r="Q45" s="248"/>
      <c r="R45" s="248"/>
      <c r="S45" s="248"/>
      <c r="T45" s="248"/>
      <c r="U45" s="248"/>
      <c r="V45" s="248"/>
      <c r="W45" s="248"/>
      <c r="X45" s="248"/>
      <c r="Y45" s="248"/>
      <c r="Z45" s="248"/>
      <c r="AA45" s="248"/>
      <c r="AB45" s="248"/>
      <c r="AC45" s="248"/>
      <c r="AD45" s="248"/>
      <c r="AE45" s="248"/>
      <c r="AF45" s="248"/>
      <c r="AG45" s="248"/>
      <c r="AH45" s="248"/>
      <c r="AI45" s="248"/>
      <c r="AJ45" s="248"/>
      <c r="AK45" s="248"/>
      <c r="AL45" s="248"/>
      <c r="AM45" s="248"/>
      <c r="AN45" s="248"/>
      <c r="AO45" s="248"/>
      <c r="AP45" s="248"/>
      <c r="AQ45" s="248"/>
      <c r="AR45" s="248"/>
      <c r="AS45" s="248"/>
      <c r="AT45" s="248"/>
      <c r="AU45" s="248"/>
      <c r="AV45" s="248"/>
      <c r="AW45" s="248"/>
      <c r="AX45" s="248"/>
      <c r="AY45" s="248"/>
      <c r="AZ45" s="248"/>
      <c r="BA45" s="248"/>
      <c r="BB45" s="248"/>
      <c r="BC45" s="248"/>
      <c r="BD45" s="248"/>
      <c r="BE45" s="248"/>
      <c r="BF45" s="248"/>
      <c r="BG45" s="248"/>
      <c r="BH45" s="248"/>
      <c r="BI45" s="248"/>
      <c r="BJ45" s="248"/>
      <c r="BK45" s="248"/>
      <c r="BL45" s="248"/>
      <c r="BM45" s="248"/>
      <c r="BN45" s="248"/>
      <c r="BO45" s="248"/>
      <c r="BP45" s="248"/>
      <c r="BQ45" s="248"/>
      <c r="BR45" s="248"/>
      <c r="BS45" s="248"/>
      <c r="BT45" s="248"/>
      <c r="BU45" s="248"/>
      <c r="BV45" s="248"/>
      <c r="BW45" s="248"/>
      <c r="BX45" s="248"/>
      <c r="BY45" s="248"/>
      <c r="BZ45" s="248"/>
      <c r="CA45" s="248"/>
      <c r="CB45" s="248"/>
      <c r="CC45" s="248"/>
      <c r="CD45" s="248"/>
      <c r="CE45" s="248"/>
      <c r="CF45" s="248"/>
      <c r="CG45" s="248"/>
      <c r="CH45" s="248"/>
      <c r="CI45" s="248"/>
      <c r="CJ45" s="248"/>
      <c r="CK45" s="248"/>
      <c r="CL45" s="248"/>
      <c r="CM45" s="248"/>
      <c r="CN45" s="248"/>
      <c r="CO45" s="248"/>
      <c r="CP45" s="248"/>
      <c r="CQ45" s="248"/>
      <c r="CR45" s="248"/>
      <c r="CS45" s="248"/>
      <c r="CT45" s="248"/>
      <c r="CU45" s="248"/>
      <c r="CV45" s="248"/>
      <c r="CW45" s="248"/>
      <c r="CX45" s="248"/>
      <c r="CY45" s="249"/>
    </row>
    <row r="46" spans="1:103" s="1" customFormat="1" ht="27.75" customHeight="1" x14ac:dyDescent="0.25">
      <c r="A46" s="2003"/>
      <c r="B46" s="1993"/>
      <c r="C46" s="151" t="s">
        <v>195</v>
      </c>
      <c r="D46" s="1992"/>
      <c r="E46" s="247"/>
      <c r="F46" s="248"/>
      <c r="G46" s="248"/>
      <c r="H46" s="248"/>
      <c r="I46" s="248"/>
      <c r="J46" s="248"/>
      <c r="K46" s="248"/>
      <c r="L46" s="248"/>
      <c r="M46" s="248"/>
      <c r="N46" s="248"/>
      <c r="O46" s="248"/>
      <c r="P46" s="248"/>
      <c r="Q46" s="248"/>
      <c r="R46" s="248"/>
      <c r="S46" s="248"/>
      <c r="T46" s="248"/>
      <c r="U46" s="248"/>
      <c r="V46" s="248"/>
      <c r="W46" s="248"/>
      <c r="X46" s="248"/>
      <c r="Y46" s="248"/>
      <c r="Z46" s="248"/>
      <c r="AA46" s="248"/>
      <c r="AB46" s="248"/>
      <c r="AC46" s="248"/>
      <c r="AD46" s="248"/>
      <c r="AE46" s="248"/>
      <c r="AF46" s="248"/>
      <c r="AG46" s="248"/>
      <c r="AH46" s="248"/>
      <c r="AI46" s="248"/>
      <c r="AJ46" s="248"/>
      <c r="AK46" s="248"/>
      <c r="AL46" s="248"/>
      <c r="AM46" s="248"/>
      <c r="AN46" s="248"/>
      <c r="AO46" s="248"/>
      <c r="AP46" s="248"/>
      <c r="AQ46" s="248"/>
      <c r="AR46" s="248"/>
      <c r="AS46" s="248"/>
      <c r="AT46" s="248"/>
      <c r="AU46" s="248"/>
      <c r="AV46" s="248"/>
      <c r="AW46" s="248"/>
      <c r="AX46" s="248"/>
      <c r="AY46" s="248"/>
      <c r="AZ46" s="248"/>
      <c r="BA46" s="248"/>
      <c r="BB46" s="248"/>
      <c r="BC46" s="248"/>
      <c r="BD46" s="248"/>
      <c r="BE46" s="248"/>
      <c r="BF46" s="248"/>
      <c r="BG46" s="248"/>
      <c r="BH46" s="248"/>
      <c r="BI46" s="248"/>
      <c r="BJ46" s="248"/>
      <c r="BK46" s="248"/>
      <c r="BL46" s="248"/>
      <c r="BM46" s="248"/>
      <c r="BN46" s="248"/>
      <c r="BO46" s="248"/>
      <c r="BP46" s="248"/>
      <c r="BQ46" s="248"/>
      <c r="BR46" s="248"/>
      <c r="BS46" s="248"/>
      <c r="BT46" s="248"/>
      <c r="BU46" s="248"/>
      <c r="BV46" s="248"/>
      <c r="BW46" s="248"/>
      <c r="BX46" s="248"/>
      <c r="BY46" s="248"/>
      <c r="BZ46" s="248"/>
      <c r="CA46" s="248"/>
      <c r="CB46" s="248"/>
      <c r="CC46" s="248"/>
      <c r="CD46" s="248"/>
      <c r="CE46" s="248"/>
      <c r="CF46" s="248"/>
      <c r="CG46" s="248"/>
      <c r="CH46" s="248"/>
      <c r="CI46" s="248"/>
      <c r="CJ46" s="248"/>
      <c r="CK46" s="248"/>
      <c r="CL46" s="248"/>
      <c r="CM46" s="248"/>
      <c r="CN46" s="248"/>
      <c r="CO46" s="248"/>
      <c r="CP46" s="248"/>
      <c r="CQ46" s="248"/>
      <c r="CR46" s="248"/>
      <c r="CS46" s="248"/>
      <c r="CT46" s="248"/>
      <c r="CU46" s="248"/>
      <c r="CV46" s="248"/>
      <c r="CW46" s="248"/>
      <c r="CX46" s="248"/>
      <c r="CY46" s="249"/>
    </row>
    <row r="47" spans="1:103" s="1" customFormat="1" ht="51" x14ac:dyDescent="0.25">
      <c r="A47" s="2003"/>
      <c r="B47" s="1993"/>
      <c r="C47" s="151" t="s">
        <v>193</v>
      </c>
      <c r="D47" s="152" t="s">
        <v>243</v>
      </c>
      <c r="E47" s="247"/>
      <c r="F47" s="248"/>
      <c r="G47" s="248">
        <v>0.9</v>
      </c>
      <c r="H47" s="248">
        <v>0.7</v>
      </c>
      <c r="I47" s="248">
        <v>1</v>
      </c>
      <c r="J47" s="248">
        <v>0.7</v>
      </c>
      <c r="K47" s="248">
        <v>0.7</v>
      </c>
      <c r="L47" s="248"/>
      <c r="M47" s="248"/>
      <c r="N47" s="248"/>
      <c r="O47" s="248"/>
      <c r="P47" s="248"/>
      <c r="Q47" s="248"/>
      <c r="R47" s="248"/>
      <c r="S47" s="248"/>
      <c r="T47" s="248"/>
      <c r="U47" s="248"/>
      <c r="V47" s="248"/>
      <c r="W47" s="248"/>
      <c r="X47" s="248"/>
      <c r="Y47" s="248"/>
      <c r="Z47" s="248"/>
      <c r="AA47" s="248"/>
      <c r="AB47" s="248"/>
      <c r="AC47" s="248"/>
      <c r="AD47" s="248"/>
      <c r="AE47" s="248"/>
      <c r="AF47" s="248"/>
      <c r="AG47" s="248"/>
      <c r="AH47" s="248"/>
      <c r="AI47" s="248"/>
      <c r="AJ47" s="248"/>
      <c r="AK47" s="248"/>
      <c r="AL47" s="248"/>
      <c r="AM47" s="248"/>
      <c r="AN47" s="248"/>
      <c r="AO47" s="248"/>
      <c r="AP47" s="248"/>
      <c r="AQ47" s="248"/>
      <c r="AR47" s="248"/>
      <c r="AS47" s="248"/>
      <c r="AT47" s="248"/>
      <c r="AU47" s="248"/>
      <c r="AV47" s="248"/>
      <c r="AW47" s="248"/>
      <c r="AX47" s="248"/>
      <c r="AY47" s="248"/>
      <c r="AZ47" s="248"/>
      <c r="BA47" s="248"/>
      <c r="BB47" s="248"/>
      <c r="BC47" s="248"/>
      <c r="BD47" s="248"/>
      <c r="BE47" s="248"/>
      <c r="BF47" s="248"/>
      <c r="BG47" s="248"/>
      <c r="BH47" s="248"/>
      <c r="BI47" s="248"/>
      <c r="BJ47" s="248"/>
      <c r="BK47" s="248"/>
      <c r="BL47" s="248"/>
      <c r="BM47" s="248"/>
      <c r="BN47" s="248"/>
      <c r="BO47" s="248"/>
      <c r="BP47" s="248"/>
      <c r="BQ47" s="248"/>
      <c r="BR47" s="248"/>
      <c r="BS47" s="248"/>
      <c r="BT47" s="248"/>
      <c r="BU47" s="248"/>
      <c r="BV47" s="248"/>
      <c r="BW47" s="248"/>
      <c r="BX47" s="248"/>
      <c r="BY47" s="248"/>
      <c r="BZ47" s="248"/>
      <c r="CA47" s="248"/>
      <c r="CB47" s="248"/>
      <c r="CC47" s="248"/>
      <c r="CD47" s="248"/>
      <c r="CE47" s="248"/>
      <c r="CF47" s="248"/>
      <c r="CG47" s="248"/>
      <c r="CH47" s="248"/>
      <c r="CI47" s="248"/>
      <c r="CJ47" s="248"/>
      <c r="CK47" s="248"/>
      <c r="CL47" s="248"/>
      <c r="CM47" s="248"/>
      <c r="CN47" s="248"/>
      <c r="CO47" s="248"/>
      <c r="CP47" s="248"/>
      <c r="CQ47" s="248"/>
      <c r="CR47" s="248"/>
      <c r="CS47" s="248"/>
      <c r="CT47" s="248"/>
      <c r="CU47" s="248"/>
      <c r="CV47" s="248"/>
      <c r="CW47" s="248"/>
      <c r="CX47" s="248"/>
      <c r="CY47" s="249"/>
    </row>
    <row r="48" spans="1:103" s="1" customFormat="1" ht="63.75" x14ac:dyDescent="0.25">
      <c r="A48" s="2003"/>
      <c r="B48" s="1993"/>
      <c r="C48" s="151" t="s">
        <v>193</v>
      </c>
      <c r="D48" s="152" t="s">
        <v>244</v>
      </c>
      <c r="E48" s="247"/>
      <c r="F48" s="248"/>
      <c r="G48" s="248">
        <v>0.8</v>
      </c>
      <c r="H48" s="248"/>
      <c r="I48" s="248">
        <v>1</v>
      </c>
      <c r="J48" s="248">
        <v>1</v>
      </c>
      <c r="K48" s="248">
        <v>1</v>
      </c>
      <c r="L48" s="248"/>
      <c r="M48" s="248"/>
      <c r="N48" s="248"/>
      <c r="O48" s="248"/>
      <c r="P48" s="248"/>
      <c r="Q48" s="248"/>
      <c r="R48" s="248"/>
      <c r="S48" s="248"/>
      <c r="T48" s="248"/>
      <c r="U48" s="248"/>
      <c r="V48" s="248"/>
      <c r="W48" s="248"/>
      <c r="X48" s="248"/>
      <c r="Y48" s="248"/>
      <c r="Z48" s="248"/>
      <c r="AA48" s="248"/>
      <c r="AB48" s="248"/>
      <c r="AC48" s="248"/>
      <c r="AD48" s="248"/>
      <c r="AE48" s="248"/>
      <c r="AF48" s="248"/>
      <c r="AG48" s="248"/>
      <c r="AH48" s="248"/>
      <c r="AI48" s="248"/>
      <c r="AJ48" s="248"/>
      <c r="AK48" s="248"/>
      <c r="AL48" s="248"/>
      <c r="AM48" s="248"/>
      <c r="AN48" s="248"/>
      <c r="AO48" s="248"/>
      <c r="AP48" s="248"/>
      <c r="AQ48" s="248"/>
      <c r="AR48" s="248"/>
      <c r="AS48" s="248"/>
      <c r="AT48" s="248"/>
      <c r="AU48" s="248"/>
      <c r="AV48" s="248"/>
      <c r="AW48" s="248"/>
      <c r="AX48" s="248"/>
      <c r="AY48" s="248"/>
      <c r="AZ48" s="248"/>
      <c r="BA48" s="248"/>
      <c r="BB48" s="248"/>
      <c r="BC48" s="248"/>
      <c r="BD48" s="248"/>
      <c r="BE48" s="248"/>
      <c r="BF48" s="248"/>
      <c r="BG48" s="248"/>
      <c r="BH48" s="248"/>
      <c r="BI48" s="248"/>
      <c r="BJ48" s="248"/>
      <c r="BK48" s="248"/>
      <c r="BL48" s="248"/>
      <c r="BM48" s="248"/>
      <c r="BN48" s="248"/>
      <c r="BO48" s="248"/>
      <c r="BP48" s="248"/>
      <c r="BQ48" s="248"/>
      <c r="BR48" s="248"/>
      <c r="BS48" s="248"/>
      <c r="BT48" s="248"/>
      <c r="BU48" s="248"/>
      <c r="BV48" s="248"/>
      <c r="BW48" s="248"/>
      <c r="BX48" s="248"/>
      <c r="BY48" s="248"/>
      <c r="BZ48" s="248"/>
      <c r="CA48" s="248"/>
      <c r="CB48" s="248"/>
      <c r="CC48" s="248"/>
      <c r="CD48" s="248"/>
      <c r="CE48" s="248"/>
      <c r="CF48" s="248"/>
      <c r="CG48" s="248"/>
      <c r="CH48" s="248"/>
      <c r="CI48" s="248"/>
      <c r="CJ48" s="248"/>
      <c r="CK48" s="248"/>
      <c r="CL48" s="248"/>
      <c r="CM48" s="248"/>
      <c r="CN48" s="248"/>
      <c r="CO48" s="248"/>
      <c r="CP48" s="248"/>
      <c r="CQ48" s="248"/>
      <c r="CR48" s="248"/>
      <c r="CS48" s="248"/>
      <c r="CT48" s="248"/>
      <c r="CU48" s="248"/>
      <c r="CV48" s="248"/>
      <c r="CW48" s="248"/>
      <c r="CX48" s="248"/>
      <c r="CY48" s="249"/>
    </row>
    <row r="49" spans="1:103" s="1" customFormat="1" ht="51" x14ac:dyDescent="0.25">
      <c r="A49" s="2003"/>
      <c r="B49" s="1234" t="s">
        <v>245</v>
      </c>
      <c r="C49" s="151" t="s">
        <v>227</v>
      </c>
      <c r="D49" s="1235" t="s">
        <v>246</v>
      </c>
      <c r="E49" s="247"/>
      <c r="F49" s="248"/>
      <c r="G49" s="248">
        <v>0.9</v>
      </c>
      <c r="H49" s="248"/>
      <c r="I49" s="248">
        <v>1</v>
      </c>
      <c r="J49" s="248">
        <v>1</v>
      </c>
      <c r="K49" s="248">
        <v>1</v>
      </c>
      <c r="L49" s="248"/>
      <c r="M49" s="248"/>
      <c r="N49" s="248"/>
      <c r="O49" s="248"/>
      <c r="P49" s="248"/>
      <c r="Q49" s="248"/>
      <c r="R49" s="248"/>
      <c r="S49" s="248"/>
      <c r="T49" s="248"/>
      <c r="U49" s="248"/>
      <c r="V49" s="248"/>
      <c r="W49" s="248"/>
      <c r="X49" s="248"/>
      <c r="Y49" s="248"/>
      <c r="Z49" s="248"/>
      <c r="AA49" s="248"/>
      <c r="AB49" s="248"/>
      <c r="AC49" s="248"/>
      <c r="AD49" s="248"/>
      <c r="AE49" s="248"/>
      <c r="AF49" s="248"/>
      <c r="AG49" s="248"/>
      <c r="AH49" s="248"/>
      <c r="AI49" s="248"/>
      <c r="AJ49" s="248"/>
      <c r="AK49" s="248"/>
      <c r="AL49" s="248"/>
      <c r="AM49" s="248"/>
      <c r="AN49" s="248"/>
      <c r="AO49" s="248"/>
      <c r="AP49" s="248"/>
      <c r="AQ49" s="248"/>
      <c r="AR49" s="248"/>
      <c r="AS49" s="248"/>
      <c r="AT49" s="248"/>
      <c r="AU49" s="248"/>
      <c r="AV49" s="248"/>
      <c r="AW49" s="248"/>
      <c r="AX49" s="248"/>
      <c r="AY49" s="248"/>
      <c r="AZ49" s="248"/>
      <c r="BA49" s="248"/>
      <c r="BB49" s="248"/>
      <c r="BC49" s="248"/>
      <c r="BD49" s="248"/>
      <c r="BE49" s="248"/>
      <c r="BF49" s="248"/>
      <c r="BG49" s="248"/>
      <c r="BH49" s="248"/>
      <c r="BI49" s="248"/>
      <c r="BJ49" s="248"/>
      <c r="BK49" s="248"/>
      <c r="BL49" s="248"/>
      <c r="BM49" s="248"/>
      <c r="BN49" s="248"/>
      <c r="BO49" s="248"/>
      <c r="BP49" s="248"/>
      <c r="BQ49" s="248"/>
      <c r="BR49" s="248"/>
      <c r="BS49" s="248"/>
      <c r="BT49" s="248"/>
      <c r="BU49" s="248"/>
      <c r="BV49" s="248"/>
      <c r="BW49" s="248"/>
      <c r="BX49" s="248"/>
      <c r="BY49" s="248"/>
      <c r="BZ49" s="248"/>
      <c r="CA49" s="248"/>
      <c r="CB49" s="248"/>
      <c r="CC49" s="248"/>
      <c r="CD49" s="248"/>
      <c r="CE49" s="248"/>
      <c r="CF49" s="248"/>
      <c r="CG49" s="248"/>
      <c r="CH49" s="248"/>
      <c r="CI49" s="248"/>
      <c r="CJ49" s="248"/>
      <c r="CK49" s="248"/>
      <c r="CL49" s="248"/>
      <c r="CM49" s="248"/>
      <c r="CN49" s="248"/>
      <c r="CO49" s="248"/>
      <c r="CP49" s="248"/>
      <c r="CQ49" s="248"/>
      <c r="CR49" s="248"/>
      <c r="CS49" s="248"/>
      <c r="CT49" s="248"/>
      <c r="CU49" s="248"/>
      <c r="CV49" s="248"/>
      <c r="CW49" s="248"/>
      <c r="CX49" s="248"/>
      <c r="CY49" s="249"/>
    </row>
    <row r="50" spans="1:103" s="1" customFormat="1" ht="45.75" customHeight="1" x14ac:dyDescent="0.25">
      <c r="A50" s="2003"/>
      <c r="B50" s="1993" t="s">
        <v>247</v>
      </c>
      <c r="C50" s="151" t="s">
        <v>193</v>
      </c>
      <c r="D50" s="152" t="s">
        <v>248</v>
      </c>
      <c r="E50" s="247"/>
      <c r="F50" s="248">
        <v>1</v>
      </c>
      <c r="G50" s="248">
        <v>1</v>
      </c>
      <c r="H50" s="248">
        <v>1</v>
      </c>
      <c r="I50" s="248">
        <v>1</v>
      </c>
      <c r="J50" s="248">
        <v>1</v>
      </c>
      <c r="K50" s="248">
        <v>1</v>
      </c>
      <c r="L50" s="248"/>
      <c r="M50" s="248"/>
      <c r="N50" s="248"/>
      <c r="O50" s="248"/>
      <c r="P50" s="248"/>
      <c r="Q50" s="248"/>
      <c r="R50" s="248"/>
      <c r="S50" s="248"/>
      <c r="T50" s="248"/>
      <c r="U50" s="248"/>
      <c r="V50" s="248"/>
      <c r="W50" s="248"/>
      <c r="X50" s="248"/>
      <c r="Y50" s="248"/>
      <c r="Z50" s="248"/>
      <c r="AA50" s="248"/>
      <c r="AB50" s="248"/>
      <c r="AC50" s="248"/>
      <c r="AD50" s="248"/>
      <c r="AE50" s="248"/>
      <c r="AF50" s="248"/>
      <c r="AG50" s="248"/>
      <c r="AH50" s="248"/>
      <c r="AI50" s="248"/>
      <c r="AJ50" s="248"/>
      <c r="AK50" s="248"/>
      <c r="AL50" s="248"/>
      <c r="AM50" s="248"/>
      <c r="AN50" s="248"/>
      <c r="AO50" s="248"/>
      <c r="AP50" s="248"/>
      <c r="AQ50" s="248"/>
      <c r="AR50" s="248"/>
      <c r="AS50" s="248"/>
      <c r="AT50" s="248"/>
      <c r="AU50" s="248"/>
      <c r="AV50" s="248"/>
      <c r="AW50" s="248"/>
      <c r="AX50" s="248"/>
      <c r="AY50" s="248"/>
      <c r="AZ50" s="248"/>
      <c r="BA50" s="248"/>
      <c r="BB50" s="248"/>
      <c r="BC50" s="248"/>
      <c r="BD50" s="248"/>
      <c r="BE50" s="248"/>
      <c r="BF50" s="248"/>
      <c r="BG50" s="248"/>
      <c r="BH50" s="248"/>
      <c r="BI50" s="248"/>
      <c r="BJ50" s="248"/>
      <c r="BK50" s="248"/>
      <c r="BL50" s="248"/>
      <c r="BM50" s="248"/>
      <c r="BN50" s="248"/>
      <c r="BO50" s="248"/>
      <c r="BP50" s="248"/>
      <c r="BQ50" s="248"/>
      <c r="BR50" s="248"/>
      <c r="BS50" s="248"/>
      <c r="BT50" s="248"/>
      <c r="BU50" s="248"/>
      <c r="BV50" s="248"/>
      <c r="BW50" s="248"/>
      <c r="BX50" s="248"/>
      <c r="BY50" s="248"/>
      <c r="BZ50" s="248"/>
      <c r="CA50" s="248"/>
      <c r="CB50" s="248"/>
      <c r="CC50" s="248"/>
      <c r="CD50" s="248"/>
      <c r="CE50" s="248"/>
      <c r="CF50" s="248"/>
      <c r="CG50" s="248"/>
      <c r="CH50" s="248"/>
      <c r="CI50" s="248"/>
      <c r="CJ50" s="248"/>
      <c r="CK50" s="248"/>
      <c r="CL50" s="248"/>
      <c r="CM50" s="248"/>
      <c r="CN50" s="248"/>
      <c r="CO50" s="248"/>
      <c r="CP50" s="248"/>
      <c r="CQ50" s="248"/>
      <c r="CR50" s="248"/>
      <c r="CS50" s="248"/>
      <c r="CT50" s="248"/>
      <c r="CU50" s="248"/>
      <c r="CV50" s="248"/>
      <c r="CW50" s="248"/>
      <c r="CX50" s="248"/>
      <c r="CY50" s="249"/>
    </row>
    <row r="51" spans="1:103" s="1" customFormat="1" ht="38.25" customHeight="1" x14ac:dyDescent="0.25">
      <c r="A51" s="2003"/>
      <c r="B51" s="1993"/>
      <c r="C51" s="151" t="s">
        <v>187</v>
      </c>
      <c r="D51" s="152" t="s">
        <v>249</v>
      </c>
      <c r="E51" s="247"/>
      <c r="F51" s="248">
        <v>1</v>
      </c>
      <c r="G51" s="248">
        <v>1</v>
      </c>
      <c r="H51" s="248">
        <v>1</v>
      </c>
      <c r="I51" s="248">
        <v>0.95</v>
      </c>
      <c r="J51" s="248">
        <v>0.95</v>
      </c>
      <c r="K51" s="248">
        <v>0.95</v>
      </c>
      <c r="L51" s="248"/>
      <c r="M51" s="248"/>
      <c r="N51" s="248"/>
      <c r="O51" s="248"/>
      <c r="P51" s="248"/>
      <c r="Q51" s="248"/>
      <c r="R51" s="248"/>
      <c r="S51" s="248"/>
      <c r="T51" s="248"/>
      <c r="U51" s="248"/>
      <c r="V51" s="248"/>
      <c r="W51" s="248"/>
      <c r="X51" s="248"/>
      <c r="Y51" s="248"/>
      <c r="Z51" s="248"/>
      <c r="AA51" s="248"/>
      <c r="AB51" s="248"/>
      <c r="AC51" s="248"/>
      <c r="AD51" s="248"/>
      <c r="AE51" s="248"/>
      <c r="AF51" s="248"/>
      <c r="AG51" s="248"/>
      <c r="AH51" s="248"/>
      <c r="AI51" s="248"/>
      <c r="AJ51" s="248"/>
      <c r="AK51" s="248"/>
      <c r="AL51" s="248"/>
      <c r="AM51" s="248"/>
      <c r="AN51" s="248"/>
      <c r="AO51" s="248"/>
      <c r="AP51" s="248"/>
      <c r="AQ51" s="248"/>
      <c r="AR51" s="248"/>
      <c r="AS51" s="248"/>
      <c r="AT51" s="248"/>
      <c r="AU51" s="248"/>
      <c r="AV51" s="248"/>
      <c r="AW51" s="248"/>
      <c r="AX51" s="248"/>
      <c r="AY51" s="248"/>
      <c r="AZ51" s="248"/>
      <c r="BA51" s="248"/>
      <c r="BB51" s="248"/>
      <c r="BC51" s="248"/>
      <c r="BD51" s="248"/>
      <c r="BE51" s="248"/>
      <c r="BF51" s="248"/>
      <c r="BG51" s="248"/>
      <c r="BH51" s="248"/>
      <c r="BI51" s="248"/>
      <c r="BJ51" s="248"/>
      <c r="BK51" s="248"/>
      <c r="BL51" s="248"/>
      <c r="BM51" s="248"/>
      <c r="BN51" s="248"/>
      <c r="BO51" s="248"/>
      <c r="BP51" s="248"/>
      <c r="BQ51" s="248"/>
      <c r="BR51" s="248"/>
      <c r="BS51" s="248"/>
      <c r="BT51" s="248"/>
      <c r="BU51" s="248"/>
      <c r="BV51" s="248"/>
      <c r="BW51" s="248"/>
      <c r="BX51" s="248"/>
      <c r="BY51" s="248"/>
      <c r="BZ51" s="248"/>
      <c r="CA51" s="248"/>
      <c r="CB51" s="248"/>
      <c r="CC51" s="248"/>
      <c r="CD51" s="248"/>
      <c r="CE51" s="248"/>
      <c r="CF51" s="248"/>
      <c r="CG51" s="248"/>
      <c r="CH51" s="248"/>
      <c r="CI51" s="248"/>
      <c r="CJ51" s="248"/>
      <c r="CK51" s="248"/>
      <c r="CL51" s="248"/>
      <c r="CM51" s="248"/>
      <c r="CN51" s="248"/>
      <c r="CO51" s="248"/>
      <c r="CP51" s="248"/>
      <c r="CQ51" s="248"/>
      <c r="CR51" s="248"/>
      <c r="CS51" s="248"/>
      <c r="CT51" s="248"/>
      <c r="CU51" s="248"/>
      <c r="CV51" s="248"/>
      <c r="CW51" s="248"/>
      <c r="CX51" s="248"/>
      <c r="CY51" s="249"/>
    </row>
    <row r="52" spans="1:103" s="1" customFormat="1" ht="51" customHeight="1" x14ac:dyDescent="0.25">
      <c r="A52" s="2003"/>
      <c r="B52" s="1993"/>
      <c r="C52" s="151" t="s">
        <v>187</v>
      </c>
      <c r="D52" s="152" t="s">
        <v>250</v>
      </c>
      <c r="E52" s="247"/>
      <c r="F52" s="248">
        <v>1</v>
      </c>
      <c r="G52" s="248">
        <v>1</v>
      </c>
      <c r="H52" s="248">
        <v>1</v>
      </c>
      <c r="I52" s="248">
        <v>0.9</v>
      </c>
      <c r="J52" s="248">
        <v>0.9</v>
      </c>
      <c r="K52" s="248">
        <v>0.9</v>
      </c>
      <c r="L52" s="248"/>
      <c r="M52" s="248"/>
      <c r="N52" s="248"/>
      <c r="O52" s="248"/>
      <c r="P52" s="248"/>
      <c r="Q52" s="248"/>
      <c r="R52" s="248"/>
      <c r="S52" s="248"/>
      <c r="T52" s="248"/>
      <c r="U52" s="248"/>
      <c r="V52" s="248"/>
      <c r="W52" s="248"/>
      <c r="X52" s="248"/>
      <c r="Y52" s="248"/>
      <c r="Z52" s="248"/>
      <c r="AA52" s="248"/>
      <c r="AB52" s="248"/>
      <c r="AC52" s="248"/>
      <c r="AD52" s="248"/>
      <c r="AE52" s="248"/>
      <c r="AF52" s="248"/>
      <c r="AG52" s="248"/>
      <c r="AH52" s="248"/>
      <c r="AI52" s="248"/>
      <c r="AJ52" s="248"/>
      <c r="AK52" s="248"/>
      <c r="AL52" s="248"/>
      <c r="AM52" s="248"/>
      <c r="AN52" s="248"/>
      <c r="AO52" s="248"/>
      <c r="AP52" s="248"/>
      <c r="AQ52" s="248"/>
      <c r="AR52" s="248"/>
      <c r="AS52" s="248"/>
      <c r="AT52" s="248"/>
      <c r="AU52" s="248"/>
      <c r="AV52" s="248"/>
      <c r="AW52" s="248"/>
      <c r="AX52" s="248"/>
      <c r="AY52" s="248"/>
      <c r="AZ52" s="248"/>
      <c r="BA52" s="248"/>
      <c r="BB52" s="248"/>
      <c r="BC52" s="248"/>
      <c r="BD52" s="248"/>
      <c r="BE52" s="248"/>
      <c r="BF52" s="248"/>
      <c r="BG52" s="248"/>
      <c r="BH52" s="248"/>
      <c r="BI52" s="248"/>
      <c r="BJ52" s="248"/>
      <c r="BK52" s="248"/>
      <c r="BL52" s="248"/>
      <c r="BM52" s="248"/>
      <c r="BN52" s="248"/>
      <c r="BO52" s="248"/>
      <c r="BP52" s="248"/>
      <c r="BQ52" s="248"/>
      <c r="BR52" s="248"/>
      <c r="BS52" s="248"/>
      <c r="BT52" s="248"/>
      <c r="BU52" s="248"/>
      <c r="BV52" s="248"/>
      <c r="BW52" s="248"/>
      <c r="BX52" s="248"/>
      <c r="BY52" s="248"/>
      <c r="BZ52" s="248"/>
      <c r="CA52" s="248"/>
      <c r="CB52" s="248"/>
      <c r="CC52" s="248"/>
      <c r="CD52" s="248"/>
      <c r="CE52" s="248"/>
      <c r="CF52" s="248"/>
      <c r="CG52" s="248"/>
      <c r="CH52" s="248"/>
      <c r="CI52" s="248"/>
      <c r="CJ52" s="248"/>
      <c r="CK52" s="248"/>
      <c r="CL52" s="248"/>
      <c r="CM52" s="248"/>
      <c r="CN52" s="248"/>
      <c r="CO52" s="248"/>
      <c r="CP52" s="248"/>
      <c r="CQ52" s="248"/>
      <c r="CR52" s="248"/>
      <c r="CS52" s="248"/>
      <c r="CT52" s="248"/>
      <c r="CU52" s="248"/>
      <c r="CV52" s="248"/>
      <c r="CW52" s="248"/>
      <c r="CX52" s="248"/>
      <c r="CY52" s="249"/>
    </row>
    <row r="53" spans="1:103" s="1" customFormat="1" ht="63.75" customHeight="1" x14ac:dyDescent="0.25">
      <c r="A53" s="2003"/>
      <c r="B53" s="1236" t="s">
        <v>251</v>
      </c>
      <c r="C53" s="151" t="s">
        <v>195</v>
      </c>
      <c r="D53" s="153" t="s">
        <v>252</v>
      </c>
      <c r="E53" s="247"/>
      <c r="F53" s="248">
        <v>0.84</v>
      </c>
      <c r="G53" s="248">
        <v>1</v>
      </c>
      <c r="H53" s="248">
        <v>1</v>
      </c>
      <c r="I53" s="248">
        <v>0.9</v>
      </c>
      <c r="J53" s="248">
        <v>0.9</v>
      </c>
      <c r="K53" s="248">
        <v>0.9</v>
      </c>
      <c r="L53" s="248"/>
      <c r="M53" s="248"/>
      <c r="N53" s="248"/>
      <c r="O53" s="248"/>
      <c r="P53" s="248"/>
      <c r="Q53" s="248"/>
      <c r="R53" s="248"/>
      <c r="S53" s="248"/>
      <c r="T53" s="248"/>
      <c r="U53" s="248"/>
      <c r="V53" s="248"/>
      <c r="W53" s="248"/>
      <c r="X53" s="248"/>
      <c r="Y53" s="248"/>
      <c r="Z53" s="248"/>
      <c r="AA53" s="248"/>
      <c r="AB53" s="248"/>
      <c r="AC53" s="248"/>
      <c r="AD53" s="248"/>
      <c r="AE53" s="248"/>
      <c r="AF53" s="248"/>
      <c r="AG53" s="248"/>
      <c r="AH53" s="248"/>
      <c r="AI53" s="248"/>
      <c r="AJ53" s="248"/>
      <c r="AK53" s="248"/>
      <c r="AL53" s="248"/>
      <c r="AM53" s="248"/>
      <c r="AN53" s="248"/>
      <c r="AO53" s="248"/>
      <c r="AP53" s="248"/>
      <c r="AQ53" s="248"/>
      <c r="AR53" s="248"/>
      <c r="AS53" s="248"/>
      <c r="AT53" s="248"/>
      <c r="AU53" s="248"/>
      <c r="AV53" s="248"/>
      <c r="AW53" s="248"/>
      <c r="AX53" s="248"/>
      <c r="AY53" s="248"/>
      <c r="AZ53" s="248"/>
      <c r="BA53" s="248"/>
      <c r="BB53" s="248"/>
      <c r="BC53" s="248"/>
      <c r="BD53" s="248"/>
      <c r="BE53" s="248"/>
      <c r="BF53" s="248"/>
      <c r="BG53" s="248"/>
      <c r="BH53" s="248"/>
      <c r="BI53" s="248"/>
      <c r="BJ53" s="248"/>
      <c r="BK53" s="248"/>
      <c r="BL53" s="248"/>
      <c r="BM53" s="248"/>
      <c r="BN53" s="248"/>
      <c r="BO53" s="248"/>
      <c r="BP53" s="248"/>
      <c r="BQ53" s="248"/>
      <c r="BR53" s="248"/>
      <c r="BS53" s="248"/>
      <c r="BT53" s="248"/>
      <c r="BU53" s="248"/>
      <c r="BV53" s="248"/>
      <c r="BW53" s="248"/>
      <c r="BX53" s="248"/>
      <c r="BY53" s="248"/>
      <c r="BZ53" s="248"/>
      <c r="CA53" s="248"/>
      <c r="CB53" s="248"/>
      <c r="CC53" s="248"/>
      <c r="CD53" s="248"/>
      <c r="CE53" s="248"/>
      <c r="CF53" s="248"/>
      <c r="CG53" s="248"/>
      <c r="CH53" s="248"/>
      <c r="CI53" s="248"/>
      <c r="CJ53" s="248"/>
      <c r="CK53" s="248"/>
      <c r="CL53" s="248"/>
      <c r="CM53" s="248"/>
      <c r="CN53" s="248"/>
      <c r="CO53" s="248"/>
      <c r="CP53" s="248"/>
      <c r="CQ53" s="248"/>
      <c r="CR53" s="248"/>
      <c r="CS53" s="248"/>
      <c r="CT53" s="248"/>
      <c r="CU53" s="248"/>
      <c r="CV53" s="248"/>
      <c r="CW53" s="248"/>
      <c r="CX53" s="248"/>
      <c r="CY53" s="249"/>
    </row>
    <row r="54" spans="1:103" s="1" customFormat="1" ht="117" customHeight="1" x14ac:dyDescent="0.25">
      <c r="A54" s="1967" t="s">
        <v>253</v>
      </c>
      <c r="B54" s="1155" t="s">
        <v>254</v>
      </c>
      <c r="C54" s="154" t="s">
        <v>195</v>
      </c>
      <c r="D54" s="155" t="s">
        <v>255</v>
      </c>
      <c r="E54" s="156">
        <v>1</v>
      </c>
      <c r="F54" s="157"/>
      <c r="G54" s="157"/>
      <c r="H54" s="157">
        <v>1</v>
      </c>
      <c r="I54" s="157"/>
      <c r="J54" s="157"/>
      <c r="K54" s="157">
        <v>0.9</v>
      </c>
      <c r="L54" s="157"/>
      <c r="M54" s="157"/>
      <c r="N54" s="157"/>
      <c r="O54" s="157"/>
      <c r="P54" s="157"/>
      <c r="Q54" s="157"/>
      <c r="R54" s="157"/>
      <c r="S54" s="157"/>
      <c r="T54" s="157"/>
      <c r="U54" s="157"/>
      <c r="V54" s="157"/>
      <c r="W54" s="157"/>
      <c r="X54" s="157"/>
      <c r="Y54" s="157"/>
      <c r="Z54" s="157"/>
      <c r="AA54" s="157"/>
      <c r="AB54" s="157"/>
      <c r="AC54" s="157"/>
      <c r="AD54" s="157"/>
      <c r="AE54" s="157"/>
      <c r="AF54" s="157"/>
      <c r="AG54" s="157"/>
      <c r="AH54" s="157"/>
      <c r="AI54" s="157"/>
      <c r="AJ54" s="157"/>
      <c r="AK54" s="157"/>
      <c r="AL54" s="157"/>
      <c r="AM54" s="157"/>
      <c r="AN54" s="157"/>
      <c r="AO54" s="157"/>
      <c r="AP54" s="157"/>
      <c r="AQ54" s="157"/>
      <c r="AR54" s="157"/>
      <c r="AS54" s="157"/>
      <c r="AT54" s="157"/>
      <c r="AU54" s="157"/>
      <c r="AV54" s="157"/>
      <c r="AW54" s="157"/>
      <c r="AX54" s="157"/>
      <c r="AY54" s="157"/>
      <c r="AZ54" s="157"/>
      <c r="BA54" s="157"/>
      <c r="BB54" s="157"/>
      <c r="BC54" s="157"/>
      <c r="BD54" s="157"/>
      <c r="BE54" s="157"/>
      <c r="BF54" s="157"/>
      <c r="BG54" s="157"/>
      <c r="BH54" s="157"/>
      <c r="BI54" s="157"/>
      <c r="BJ54" s="157"/>
      <c r="BK54" s="157"/>
      <c r="BL54" s="157"/>
      <c r="BM54" s="157"/>
      <c r="BN54" s="157"/>
      <c r="BO54" s="157"/>
      <c r="BP54" s="157"/>
      <c r="BQ54" s="157"/>
      <c r="BR54" s="157"/>
      <c r="BS54" s="157"/>
      <c r="BT54" s="157"/>
      <c r="BU54" s="157"/>
      <c r="BV54" s="157"/>
      <c r="BW54" s="157"/>
      <c r="BX54" s="157"/>
      <c r="BY54" s="157"/>
      <c r="BZ54" s="157"/>
      <c r="CA54" s="157"/>
      <c r="CB54" s="157"/>
      <c r="CC54" s="157"/>
      <c r="CD54" s="157"/>
      <c r="CE54" s="157"/>
      <c r="CF54" s="157"/>
      <c r="CG54" s="157"/>
      <c r="CH54" s="157"/>
      <c r="CI54" s="157"/>
      <c r="CJ54" s="157"/>
      <c r="CK54" s="157"/>
      <c r="CL54" s="157"/>
      <c r="CM54" s="157"/>
      <c r="CN54" s="157"/>
      <c r="CO54" s="157"/>
      <c r="CP54" s="157"/>
      <c r="CQ54" s="157"/>
      <c r="CR54" s="157"/>
      <c r="CS54" s="157"/>
      <c r="CT54" s="157"/>
      <c r="CU54" s="157"/>
      <c r="CV54" s="157"/>
      <c r="CW54" s="157"/>
      <c r="CX54" s="157"/>
      <c r="CY54" s="158"/>
    </row>
    <row r="55" spans="1:103" s="1" customFormat="1" ht="93.75" customHeight="1" x14ac:dyDescent="0.25">
      <c r="A55" s="1967"/>
      <c r="B55" s="1968" t="s">
        <v>256</v>
      </c>
      <c r="C55" s="154" t="s">
        <v>193</v>
      </c>
      <c r="D55" s="155" t="s">
        <v>257</v>
      </c>
      <c r="E55" s="156">
        <v>1</v>
      </c>
      <c r="F55" s="157"/>
      <c r="G55" s="157"/>
      <c r="H55" s="157">
        <v>1</v>
      </c>
      <c r="I55" s="157"/>
      <c r="J55" s="157"/>
      <c r="K55" s="157">
        <v>0.9</v>
      </c>
      <c r="L55" s="157"/>
      <c r="M55" s="157"/>
      <c r="N55" s="157"/>
      <c r="O55" s="157"/>
      <c r="P55" s="157"/>
      <c r="Q55" s="157"/>
      <c r="R55" s="157"/>
      <c r="S55" s="157"/>
      <c r="T55" s="157"/>
      <c r="U55" s="157"/>
      <c r="V55" s="157"/>
      <c r="W55" s="157"/>
      <c r="X55" s="157"/>
      <c r="Y55" s="157"/>
      <c r="Z55" s="157"/>
      <c r="AA55" s="157"/>
      <c r="AB55" s="157"/>
      <c r="AC55" s="157"/>
      <c r="AD55" s="157"/>
      <c r="AE55" s="157"/>
      <c r="AF55" s="157"/>
      <c r="AG55" s="157"/>
      <c r="AH55" s="157"/>
      <c r="AI55" s="157"/>
      <c r="AJ55" s="157"/>
      <c r="AK55" s="157"/>
      <c r="AL55" s="157"/>
      <c r="AM55" s="157"/>
      <c r="AN55" s="157"/>
      <c r="AO55" s="157"/>
      <c r="AP55" s="157"/>
      <c r="AQ55" s="157"/>
      <c r="AR55" s="157"/>
      <c r="AS55" s="157"/>
      <c r="AT55" s="157"/>
      <c r="AU55" s="157"/>
      <c r="AV55" s="157"/>
      <c r="AW55" s="157"/>
      <c r="AX55" s="157"/>
      <c r="AY55" s="157"/>
      <c r="AZ55" s="157"/>
      <c r="BA55" s="157"/>
      <c r="BB55" s="157"/>
      <c r="BC55" s="157"/>
      <c r="BD55" s="157"/>
      <c r="BE55" s="157"/>
      <c r="BF55" s="157"/>
      <c r="BG55" s="157"/>
      <c r="BH55" s="157"/>
      <c r="BI55" s="157"/>
      <c r="BJ55" s="157"/>
      <c r="BK55" s="157"/>
      <c r="BL55" s="157"/>
      <c r="BM55" s="157"/>
      <c r="BN55" s="157"/>
      <c r="BO55" s="157"/>
      <c r="BP55" s="157"/>
      <c r="BQ55" s="157"/>
      <c r="BR55" s="157"/>
      <c r="BS55" s="157"/>
      <c r="BT55" s="157"/>
      <c r="BU55" s="157"/>
      <c r="BV55" s="157"/>
      <c r="BW55" s="157"/>
      <c r="BX55" s="157"/>
      <c r="BY55" s="157"/>
      <c r="BZ55" s="157"/>
      <c r="CA55" s="157"/>
      <c r="CB55" s="157"/>
      <c r="CC55" s="157"/>
      <c r="CD55" s="157"/>
      <c r="CE55" s="157"/>
      <c r="CF55" s="157"/>
      <c r="CG55" s="157"/>
      <c r="CH55" s="157"/>
      <c r="CI55" s="157"/>
      <c r="CJ55" s="157"/>
      <c r="CK55" s="157"/>
      <c r="CL55" s="157"/>
      <c r="CM55" s="157"/>
      <c r="CN55" s="157"/>
      <c r="CO55" s="157"/>
      <c r="CP55" s="157"/>
      <c r="CQ55" s="157"/>
      <c r="CR55" s="157"/>
      <c r="CS55" s="157"/>
      <c r="CT55" s="157"/>
      <c r="CU55" s="157"/>
      <c r="CV55" s="157"/>
      <c r="CW55" s="157"/>
      <c r="CX55" s="157"/>
      <c r="CY55" s="158"/>
    </row>
    <row r="56" spans="1:103" s="1" customFormat="1" ht="51" customHeight="1" x14ac:dyDescent="0.25">
      <c r="A56" s="1967"/>
      <c r="B56" s="1968"/>
      <c r="C56" s="154" t="s">
        <v>193</v>
      </c>
      <c r="D56" s="155" t="s">
        <v>258</v>
      </c>
      <c r="E56" s="156">
        <v>1</v>
      </c>
      <c r="F56" s="157"/>
      <c r="G56" s="157"/>
      <c r="H56" s="157">
        <v>1</v>
      </c>
      <c r="I56" s="157"/>
      <c r="J56" s="157"/>
      <c r="K56" s="157">
        <v>0.9</v>
      </c>
      <c r="L56" s="157"/>
      <c r="M56" s="157"/>
      <c r="N56" s="157"/>
      <c r="O56" s="157"/>
      <c r="P56" s="157"/>
      <c r="Q56" s="157"/>
      <c r="R56" s="157"/>
      <c r="S56" s="157"/>
      <c r="T56" s="157"/>
      <c r="U56" s="157"/>
      <c r="V56" s="157"/>
      <c r="W56" s="157"/>
      <c r="X56" s="157"/>
      <c r="Y56" s="157"/>
      <c r="Z56" s="157"/>
      <c r="AA56" s="157"/>
      <c r="AB56" s="157"/>
      <c r="AC56" s="157"/>
      <c r="AD56" s="157"/>
      <c r="AE56" s="157"/>
      <c r="AF56" s="157"/>
      <c r="AG56" s="157"/>
      <c r="AH56" s="157"/>
      <c r="AI56" s="157"/>
      <c r="AJ56" s="157"/>
      <c r="AK56" s="157"/>
      <c r="AL56" s="157"/>
      <c r="AM56" s="157"/>
      <c r="AN56" s="157"/>
      <c r="AO56" s="157"/>
      <c r="AP56" s="157"/>
      <c r="AQ56" s="157"/>
      <c r="AR56" s="157"/>
      <c r="AS56" s="157"/>
      <c r="AT56" s="157"/>
      <c r="AU56" s="157"/>
      <c r="AV56" s="157"/>
      <c r="AW56" s="157"/>
      <c r="AX56" s="157"/>
      <c r="AY56" s="157"/>
      <c r="AZ56" s="157"/>
      <c r="BA56" s="157"/>
      <c r="BB56" s="157"/>
      <c r="BC56" s="157"/>
      <c r="BD56" s="157"/>
      <c r="BE56" s="157"/>
      <c r="BF56" s="157"/>
      <c r="BG56" s="157"/>
      <c r="BH56" s="157"/>
      <c r="BI56" s="157"/>
      <c r="BJ56" s="157"/>
      <c r="BK56" s="157"/>
      <c r="BL56" s="157"/>
      <c r="BM56" s="157"/>
      <c r="BN56" s="157"/>
      <c r="BO56" s="157"/>
      <c r="BP56" s="157"/>
      <c r="BQ56" s="157"/>
      <c r="BR56" s="157"/>
      <c r="BS56" s="157"/>
      <c r="BT56" s="157"/>
      <c r="BU56" s="157"/>
      <c r="BV56" s="157"/>
      <c r="BW56" s="157"/>
      <c r="BX56" s="157"/>
      <c r="BY56" s="157"/>
      <c r="BZ56" s="157"/>
      <c r="CA56" s="157"/>
      <c r="CB56" s="157"/>
      <c r="CC56" s="157"/>
      <c r="CD56" s="157"/>
      <c r="CE56" s="157"/>
      <c r="CF56" s="157"/>
      <c r="CG56" s="157"/>
      <c r="CH56" s="157"/>
      <c r="CI56" s="157"/>
      <c r="CJ56" s="157"/>
      <c r="CK56" s="157"/>
      <c r="CL56" s="157"/>
      <c r="CM56" s="157"/>
      <c r="CN56" s="157"/>
      <c r="CO56" s="157"/>
      <c r="CP56" s="157"/>
      <c r="CQ56" s="157"/>
      <c r="CR56" s="157"/>
      <c r="CS56" s="157"/>
      <c r="CT56" s="157"/>
      <c r="CU56" s="157"/>
      <c r="CV56" s="157"/>
      <c r="CW56" s="157"/>
      <c r="CX56" s="157"/>
      <c r="CY56" s="158"/>
    </row>
    <row r="57" spans="1:103" s="1" customFormat="1" ht="71.25" customHeight="1" x14ac:dyDescent="0.25">
      <c r="A57" s="1967"/>
      <c r="B57" s="1968"/>
      <c r="C57" s="154" t="s">
        <v>195</v>
      </c>
      <c r="D57" s="155" t="s">
        <v>259</v>
      </c>
      <c r="E57" s="156">
        <v>1</v>
      </c>
      <c r="F57" s="157"/>
      <c r="G57" s="157"/>
      <c r="H57" s="157">
        <v>1</v>
      </c>
      <c r="I57" s="157"/>
      <c r="J57" s="157"/>
      <c r="K57" s="157">
        <v>0.9</v>
      </c>
      <c r="L57" s="157"/>
      <c r="M57" s="157"/>
      <c r="N57" s="157"/>
      <c r="O57" s="157"/>
      <c r="P57" s="157"/>
      <c r="Q57" s="157"/>
      <c r="R57" s="157"/>
      <c r="S57" s="157"/>
      <c r="T57" s="157"/>
      <c r="U57" s="157"/>
      <c r="V57" s="157"/>
      <c r="W57" s="157"/>
      <c r="X57" s="157"/>
      <c r="Y57" s="157"/>
      <c r="Z57" s="157"/>
      <c r="AA57" s="157"/>
      <c r="AB57" s="157"/>
      <c r="AC57" s="157"/>
      <c r="AD57" s="157"/>
      <c r="AE57" s="157"/>
      <c r="AF57" s="157"/>
      <c r="AG57" s="157"/>
      <c r="AH57" s="157"/>
      <c r="AI57" s="157"/>
      <c r="AJ57" s="157"/>
      <c r="AK57" s="157"/>
      <c r="AL57" s="157"/>
      <c r="AM57" s="157"/>
      <c r="AN57" s="157"/>
      <c r="AO57" s="157"/>
      <c r="AP57" s="157"/>
      <c r="AQ57" s="157"/>
      <c r="AR57" s="157"/>
      <c r="AS57" s="157"/>
      <c r="AT57" s="157"/>
      <c r="AU57" s="157"/>
      <c r="AV57" s="157"/>
      <c r="AW57" s="157"/>
      <c r="AX57" s="157"/>
      <c r="AY57" s="157"/>
      <c r="AZ57" s="157"/>
      <c r="BA57" s="157"/>
      <c r="BB57" s="157"/>
      <c r="BC57" s="157"/>
      <c r="BD57" s="157"/>
      <c r="BE57" s="157"/>
      <c r="BF57" s="157"/>
      <c r="BG57" s="157"/>
      <c r="BH57" s="157"/>
      <c r="BI57" s="157"/>
      <c r="BJ57" s="157"/>
      <c r="BK57" s="157"/>
      <c r="BL57" s="157"/>
      <c r="BM57" s="157"/>
      <c r="BN57" s="157"/>
      <c r="BO57" s="157"/>
      <c r="BP57" s="157"/>
      <c r="BQ57" s="157"/>
      <c r="BR57" s="157"/>
      <c r="BS57" s="157"/>
      <c r="BT57" s="157"/>
      <c r="BU57" s="157"/>
      <c r="BV57" s="157"/>
      <c r="BW57" s="157"/>
      <c r="BX57" s="157"/>
      <c r="BY57" s="157"/>
      <c r="BZ57" s="157"/>
      <c r="CA57" s="157"/>
      <c r="CB57" s="157"/>
      <c r="CC57" s="157"/>
      <c r="CD57" s="157"/>
      <c r="CE57" s="157"/>
      <c r="CF57" s="157"/>
      <c r="CG57" s="157"/>
      <c r="CH57" s="157"/>
      <c r="CI57" s="157"/>
      <c r="CJ57" s="157"/>
      <c r="CK57" s="157"/>
      <c r="CL57" s="157"/>
      <c r="CM57" s="157"/>
      <c r="CN57" s="157"/>
      <c r="CO57" s="157"/>
      <c r="CP57" s="157"/>
      <c r="CQ57" s="157"/>
      <c r="CR57" s="157"/>
      <c r="CS57" s="157"/>
      <c r="CT57" s="157"/>
      <c r="CU57" s="157"/>
      <c r="CV57" s="157"/>
      <c r="CW57" s="157"/>
      <c r="CX57" s="157"/>
      <c r="CY57" s="158"/>
    </row>
    <row r="58" spans="1:103" s="1" customFormat="1" ht="38.25" x14ac:dyDescent="0.25">
      <c r="A58" s="1967"/>
      <c r="B58" s="1968"/>
      <c r="C58" s="154" t="s">
        <v>195</v>
      </c>
      <c r="D58" s="155" t="s">
        <v>260</v>
      </c>
      <c r="E58" s="156">
        <v>1</v>
      </c>
      <c r="F58" s="157"/>
      <c r="G58" s="157"/>
      <c r="H58" s="157">
        <v>1</v>
      </c>
      <c r="I58" s="157"/>
      <c r="J58" s="157"/>
      <c r="K58" s="157">
        <v>0.9</v>
      </c>
      <c r="L58" s="157"/>
      <c r="M58" s="157"/>
      <c r="N58" s="157"/>
      <c r="O58" s="157"/>
      <c r="P58" s="157"/>
      <c r="Q58" s="157"/>
      <c r="R58" s="157"/>
      <c r="S58" s="157"/>
      <c r="T58" s="157"/>
      <c r="U58" s="157"/>
      <c r="V58" s="157"/>
      <c r="W58" s="157"/>
      <c r="X58" s="157"/>
      <c r="Y58" s="157"/>
      <c r="Z58" s="157"/>
      <c r="AA58" s="157"/>
      <c r="AB58" s="157"/>
      <c r="AC58" s="157"/>
      <c r="AD58" s="157"/>
      <c r="AE58" s="157"/>
      <c r="AF58" s="157"/>
      <c r="AG58" s="157"/>
      <c r="AH58" s="157"/>
      <c r="AI58" s="157"/>
      <c r="AJ58" s="157"/>
      <c r="AK58" s="157"/>
      <c r="AL58" s="157"/>
      <c r="AM58" s="157"/>
      <c r="AN58" s="157"/>
      <c r="AO58" s="157"/>
      <c r="AP58" s="157"/>
      <c r="AQ58" s="157"/>
      <c r="AR58" s="157"/>
      <c r="AS58" s="157"/>
      <c r="AT58" s="157"/>
      <c r="AU58" s="157"/>
      <c r="AV58" s="157"/>
      <c r="AW58" s="157"/>
      <c r="AX58" s="157"/>
      <c r="AY58" s="157"/>
      <c r="AZ58" s="157"/>
      <c r="BA58" s="157"/>
      <c r="BB58" s="157"/>
      <c r="BC58" s="157"/>
      <c r="BD58" s="157"/>
      <c r="BE58" s="157"/>
      <c r="BF58" s="157"/>
      <c r="BG58" s="157"/>
      <c r="BH58" s="157"/>
      <c r="BI58" s="157"/>
      <c r="BJ58" s="157"/>
      <c r="BK58" s="157"/>
      <c r="BL58" s="157"/>
      <c r="BM58" s="157"/>
      <c r="BN58" s="157"/>
      <c r="BO58" s="157"/>
      <c r="BP58" s="157"/>
      <c r="BQ58" s="157"/>
      <c r="BR58" s="157"/>
      <c r="BS58" s="157"/>
      <c r="BT58" s="157"/>
      <c r="BU58" s="157"/>
      <c r="BV58" s="157"/>
      <c r="BW58" s="157"/>
      <c r="BX58" s="157"/>
      <c r="BY58" s="157"/>
      <c r="BZ58" s="157"/>
      <c r="CA58" s="157"/>
      <c r="CB58" s="157"/>
      <c r="CC58" s="157"/>
      <c r="CD58" s="157"/>
      <c r="CE58" s="157"/>
      <c r="CF58" s="157"/>
      <c r="CG58" s="157"/>
      <c r="CH58" s="157"/>
      <c r="CI58" s="157"/>
      <c r="CJ58" s="157"/>
      <c r="CK58" s="157"/>
      <c r="CL58" s="157"/>
      <c r="CM58" s="157"/>
      <c r="CN58" s="157"/>
      <c r="CO58" s="157"/>
      <c r="CP58" s="157"/>
      <c r="CQ58" s="157"/>
      <c r="CR58" s="157"/>
      <c r="CS58" s="157"/>
      <c r="CT58" s="157"/>
      <c r="CU58" s="157"/>
      <c r="CV58" s="157"/>
      <c r="CW58" s="157"/>
      <c r="CX58" s="157"/>
      <c r="CY58" s="158"/>
    </row>
    <row r="59" spans="1:103" s="1" customFormat="1" ht="42" customHeight="1" x14ac:dyDescent="0.25">
      <c r="A59" s="1967"/>
      <c r="B59" s="1968"/>
      <c r="C59" s="154" t="s">
        <v>195</v>
      </c>
      <c r="D59" s="155" t="s">
        <v>261</v>
      </c>
      <c r="E59" s="156">
        <v>1</v>
      </c>
      <c r="F59" s="157"/>
      <c r="G59" s="157"/>
      <c r="H59" s="157">
        <v>1</v>
      </c>
      <c r="I59" s="157"/>
      <c r="J59" s="157"/>
      <c r="K59" s="157">
        <v>0.9</v>
      </c>
      <c r="L59" s="157"/>
      <c r="M59" s="157"/>
      <c r="N59" s="157"/>
      <c r="O59" s="157"/>
      <c r="P59" s="157"/>
      <c r="Q59" s="157"/>
      <c r="R59" s="157"/>
      <c r="S59" s="157"/>
      <c r="T59" s="157"/>
      <c r="U59" s="157"/>
      <c r="V59" s="157"/>
      <c r="W59" s="157"/>
      <c r="X59" s="157"/>
      <c r="Y59" s="157"/>
      <c r="Z59" s="157"/>
      <c r="AA59" s="157"/>
      <c r="AB59" s="157"/>
      <c r="AC59" s="157"/>
      <c r="AD59" s="157"/>
      <c r="AE59" s="157"/>
      <c r="AF59" s="157"/>
      <c r="AG59" s="157"/>
      <c r="AH59" s="157"/>
      <c r="AI59" s="157"/>
      <c r="AJ59" s="157"/>
      <c r="AK59" s="157"/>
      <c r="AL59" s="157"/>
      <c r="AM59" s="157"/>
      <c r="AN59" s="157"/>
      <c r="AO59" s="157"/>
      <c r="AP59" s="157"/>
      <c r="AQ59" s="157"/>
      <c r="AR59" s="157"/>
      <c r="AS59" s="157"/>
      <c r="AT59" s="157"/>
      <c r="AU59" s="157"/>
      <c r="AV59" s="157"/>
      <c r="AW59" s="157"/>
      <c r="AX59" s="157"/>
      <c r="AY59" s="157"/>
      <c r="AZ59" s="157"/>
      <c r="BA59" s="157"/>
      <c r="BB59" s="157"/>
      <c r="BC59" s="157"/>
      <c r="BD59" s="157"/>
      <c r="BE59" s="157"/>
      <c r="BF59" s="157"/>
      <c r="BG59" s="157"/>
      <c r="BH59" s="157"/>
      <c r="BI59" s="157"/>
      <c r="BJ59" s="157"/>
      <c r="BK59" s="157"/>
      <c r="BL59" s="157"/>
      <c r="BM59" s="157"/>
      <c r="BN59" s="157"/>
      <c r="BO59" s="157"/>
      <c r="BP59" s="157"/>
      <c r="BQ59" s="157"/>
      <c r="BR59" s="157"/>
      <c r="BS59" s="157"/>
      <c r="BT59" s="157"/>
      <c r="BU59" s="157"/>
      <c r="BV59" s="157"/>
      <c r="BW59" s="157"/>
      <c r="BX59" s="157"/>
      <c r="BY59" s="157"/>
      <c r="BZ59" s="157"/>
      <c r="CA59" s="157"/>
      <c r="CB59" s="157"/>
      <c r="CC59" s="157"/>
      <c r="CD59" s="157"/>
      <c r="CE59" s="157"/>
      <c r="CF59" s="157"/>
      <c r="CG59" s="157"/>
      <c r="CH59" s="157"/>
      <c r="CI59" s="157"/>
      <c r="CJ59" s="157"/>
      <c r="CK59" s="157"/>
      <c r="CL59" s="157"/>
      <c r="CM59" s="157"/>
      <c r="CN59" s="157"/>
      <c r="CO59" s="157"/>
      <c r="CP59" s="157"/>
      <c r="CQ59" s="157"/>
      <c r="CR59" s="157"/>
      <c r="CS59" s="157"/>
      <c r="CT59" s="157"/>
      <c r="CU59" s="157"/>
      <c r="CV59" s="157"/>
      <c r="CW59" s="157"/>
      <c r="CX59" s="157"/>
      <c r="CY59" s="158"/>
    </row>
    <row r="60" spans="1:103" s="1" customFormat="1" ht="73.5" customHeight="1" x14ac:dyDescent="0.25">
      <c r="A60" s="1967"/>
      <c r="B60" s="159" t="s">
        <v>262</v>
      </c>
      <c r="C60" s="154" t="s">
        <v>193</v>
      </c>
      <c r="D60" s="155" t="s">
        <v>263</v>
      </c>
      <c r="E60" s="156">
        <v>1</v>
      </c>
      <c r="F60" s="157"/>
      <c r="G60" s="157"/>
      <c r="H60" s="157"/>
      <c r="I60" s="157"/>
      <c r="J60" s="157"/>
      <c r="K60" s="157">
        <v>0.9</v>
      </c>
      <c r="L60" s="157"/>
      <c r="M60" s="157"/>
      <c r="N60" s="157"/>
      <c r="O60" s="157"/>
      <c r="P60" s="157"/>
      <c r="Q60" s="157"/>
      <c r="R60" s="157"/>
      <c r="S60" s="157"/>
      <c r="T60" s="157"/>
      <c r="U60" s="157"/>
      <c r="V60" s="157"/>
      <c r="W60" s="157"/>
      <c r="X60" s="157"/>
      <c r="Y60" s="157"/>
      <c r="Z60" s="157"/>
      <c r="AA60" s="157"/>
      <c r="AB60" s="157"/>
      <c r="AC60" s="157"/>
      <c r="AD60" s="157"/>
      <c r="AE60" s="157"/>
      <c r="AF60" s="157"/>
      <c r="AG60" s="157"/>
      <c r="AH60" s="157"/>
      <c r="AI60" s="157"/>
      <c r="AJ60" s="157"/>
      <c r="AK60" s="157"/>
      <c r="AL60" s="157"/>
      <c r="AM60" s="157"/>
      <c r="AN60" s="157"/>
      <c r="AO60" s="157"/>
      <c r="AP60" s="157"/>
      <c r="AQ60" s="157"/>
      <c r="AR60" s="157"/>
      <c r="AS60" s="157"/>
      <c r="AT60" s="157"/>
      <c r="AU60" s="157"/>
      <c r="AV60" s="157"/>
      <c r="AW60" s="157"/>
      <c r="AX60" s="157"/>
      <c r="AY60" s="157"/>
      <c r="AZ60" s="157"/>
      <c r="BA60" s="157"/>
      <c r="BB60" s="157"/>
      <c r="BC60" s="157"/>
      <c r="BD60" s="157"/>
      <c r="BE60" s="157"/>
      <c r="BF60" s="157"/>
      <c r="BG60" s="157"/>
      <c r="BH60" s="157"/>
      <c r="BI60" s="157"/>
      <c r="BJ60" s="157"/>
      <c r="BK60" s="157"/>
      <c r="BL60" s="157"/>
      <c r="BM60" s="157"/>
      <c r="BN60" s="157"/>
      <c r="BO60" s="157"/>
      <c r="BP60" s="157"/>
      <c r="BQ60" s="157"/>
      <c r="BR60" s="157"/>
      <c r="BS60" s="157"/>
      <c r="BT60" s="157"/>
      <c r="BU60" s="157"/>
      <c r="BV60" s="157"/>
      <c r="BW60" s="157"/>
      <c r="BX60" s="157"/>
      <c r="BY60" s="157"/>
      <c r="BZ60" s="157"/>
      <c r="CA60" s="157"/>
      <c r="CB60" s="157"/>
      <c r="CC60" s="157"/>
      <c r="CD60" s="157"/>
      <c r="CE60" s="157"/>
      <c r="CF60" s="157"/>
      <c r="CG60" s="157"/>
      <c r="CH60" s="157"/>
      <c r="CI60" s="157"/>
      <c r="CJ60" s="157"/>
      <c r="CK60" s="157"/>
      <c r="CL60" s="157"/>
      <c r="CM60" s="157"/>
      <c r="CN60" s="157"/>
      <c r="CO60" s="157"/>
      <c r="CP60" s="157"/>
      <c r="CQ60" s="157"/>
      <c r="CR60" s="157"/>
      <c r="CS60" s="157"/>
      <c r="CT60" s="157"/>
      <c r="CU60" s="157"/>
      <c r="CV60" s="157"/>
      <c r="CW60" s="157"/>
      <c r="CX60" s="157"/>
      <c r="CY60" s="158"/>
    </row>
    <row r="61" spans="1:103" s="1" customFormat="1" ht="54.75" customHeight="1" x14ac:dyDescent="0.25">
      <c r="A61" s="1967"/>
      <c r="B61" s="159" t="s">
        <v>264</v>
      </c>
      <c r="C61" s="154" t="s">
        <v>195</v>
      </c>
      <c r="D61" s="155" t="s">
        <v>250</v>
      </c>
      <c r="E61" s="156"/>
      <c r="F61" s="157"/>
      <c r="G61" s="157"/>
      <c r="H61" s="157"/>
      <c r="I61" s="157"/>
      <c r="J61" s="157"/>
      <c r="K61" s="157">
        <v>0.9</v>
      </c>
      <c r="L61" s="157"/>
      <c r="M61" s="157"/>
      <c r="N61" s="157"/>
      <c r="O61" s="157"/>
      <c r="P61" s="157"/>
      <c r="Q61" s="157"/>
      <c r="R61" s="157"/>
      <c r="S61" s="157"/>
      <c r="T61" s="157"/>
      <c r="U61" s="157"/>
      <c r="V61" s="157"/>
      <c r="W61" s="157"/>
      <c r="X61" s="157"/>
      <c r="Y61" s="157"/>
      <c r="Z61" s="157"/>
      <c r="AA61" s="157"/>
      <c r="AB61" s="157"/>
      <c r="AC61" s="157"/>
      <c r="AD61" s="157"/>
      <c r="AE61" s="157"/>
      <c r="AF61" s="157"/>
      <c r="AG61" s="157"/>
      <c r="AH61" s="157"/>
      <c r="AI61" s="157"/>
      <c r="AJ61" s="157"/>
      <c r="AK61" s="157"/>
      <c r="AL61" s="157"/>
      <c r="AM61" s="157"/>
      <c r="AN61" s="157"/>
      <c r="AO61" s="157"/>
      <c r="AP61" s="157"/>
      <c r="AQ61" s="157"/>
      <c r="AR61" s="157"/>
      <c r="AS61" s="157"/>
      <c r="AT61" s="157"/>
      <c r="AU61" s="157"/>
      <c r="AV61" s="157"/>
      <c r="AW61" s="157"/>
      <c r="AX61" s="157"/>
      <c r="AY61" s="157"/>
      <c r="AZ61" s="157"/>
      <c r="BA61" s="157"/>
      <c r="BB61" s="157"/>
      <c r="BC61" s="157"/>
      <c r="BD61" s="157"/>
      <c r="BE61" s="157"/>
      <c r="BF61" s="157"/>
      <c r="BG61" s="157"/>
      <c r="BH61" s="157"/>
      <c r="BI61" s="157"/>
      <c r="BJ61" s="157"/>
      <c r="BK61" s="157"/>
      <c r="BL61" s="157"/>
      <c r="BM61" s="157"/>
      <c r="BN61" s="157"/>
      <c r="BO61" s="157"/>
      <c r="BP61" s="157"/>
      <c r="BQ61" s="157"/>
      <c r="BR61" s="157"/>
      <c r="BS61" s="157"/>
      <c r="BT61" s="157"/>
      <c r="BU61" s="157"/>
      <c r="BV61" s="157"/>
      <c r="BW61" s="157"/>
      <c r="BX61" s="157"/>
      <c r="BY61" s="157"/>
      <c r="BZ61" s="157"/>
      <c r="CA61" s="157"/>
      <c r="CB61" s="157"/>
      <c r="CC61" s="157"/>
      <c r="CD61" s="157"/>
      <c r="CE61" s="157"/>
      <c r="CF61" s="157"/>
      <c r="CG61" s="157"/>
      <c r="CH61" s="157"/>
      <c r="CI61" s="157"/>
      <c r="CJ61" s="157"/>
      <c r="CK61" s="157"/>
      <c r="CL61" s="157"/>
      <c r="CM61" s="157"/>
      <c r="CN61" s="157"/>
      <c r="CO61" s="157"/>
      <c r="CP61" s="157"/>
      <c r="CQ61" s="157"/>
      <c r="CR61" s="157"/>
      <c r="CS61" s="157"/>
      <c r="CT61" s="157"/>
      <c r="CU61" s="157"/>
      <c r="CV61" s="157"/>
      <c r="CW61" s="157"/>
      <c r="CX61" s="157"/>
      <c r="CY61" s="158"/>
    </row>
    <row r="62" spans="1:103" s="1" customFormat="1" ht="56.25" customHeight="1" x14ac:dyDescent="0.25">
      <c r="A62" s="1967"/>
      <c r="B62" s="1968" t="s">
        <v>265</v>
      </c>
      <c r="C62" s="154" t="s">
        <v>195</v>
      </c>
      <c r="D62" s="155" t="s">
        <v>266</v>
      </c>
      <c r="E62" s="156">
        <v>1</v>
      </c>
      <c r="F62" s="157"/>
      <c r="G62" s="157"/>
      <c r="H62" s="157">
        <v>1</v>
      </c>
      <c r="I62" s="157"/>
      <c r="J62" s="157"/>
      <c r="K62" s="157">
        <v>0.9</v>
      </c>
      <c r="L62" s="157"/>
      <c r="M62" s="157"/>
      <c r="N62" s="157"/>
      <c r="O62" s="157"/>
      <c r="P62" s="157"/>
      <c r="Q62" s="157"/>
      <c r="R62" s="157"/>
      <c r="S62" s="157"/>
      <c r="T62" s="157"/>
      <c r="U62" s="157"/>
      <c r="V62" s="157"/>
      <c r="W62" s="157"/>
      <c r="X62" s="157"/>
      <c r="Y62" s="157"/>
      <c r="Z62" s="157"/>
      <c r="AA62" s="157"/>
      <c r="AB62" s="157"/>
      <c r="AC62" s="157"/>
      <c r="AD62" s="157"/>
      <c r="AE62" s="157"/>
      <c r="AF62" s="157"/>
      <c r="AG62" s="157"/>
      <c r="AH62" s="157"/>
      <c r="AI62" s="157"/>
      <c r="AJ62" s="157"/>
      <c r="AK62" s="157"/>
      <c r="AL62" s="157"/>
      <c r="AM62" s="157"/>
      <c r="AN62" s="157"/>
      <c r="AO62" s="157"/>
      <c r="AP62" s="157"/>
      <c r="AQ62" s="157"/>
      <c r="AR62" s="157"/>
      <c r="AS62" s="157"/>
      <c r="AT62" s="157"/>
      <c r="AU62" s="157"/>
      <c r="AV62" s="157"/>
      <c r="AW62" s="157"/>
      <c r="AX62" s="157"/>
      <c r="AY62" s="157"/>
      <c r="AZ62" s="157"/>
      <c r="BA62" s="157"/>
      <c r="BB62" s="157"/>
      <c r="BC62" s="157"/>
      <c r="BD62" s="157"/>
      <c r="BE62" s="157"/>
      <c r="BF62" s="157"/>
      <c r="BG62" s="157"/>
      <c r="BH62" s="157"/>
      <c r="BI62" s="157"/>
      <c r="BJ62" s="157"/>
      <c r="BK62" s="157"/>
      <c r="BL62" s="157"/>
      <c r="BM62" s="157"/>
      <c r="BN62" s="157"/>
      <c r="BO62" s="157"/>
      <c r="BP62" s="157"/>
      <c r="BQ62" s="157"/>
      <c r="BR62" s="157"/>
      <c r="BS62" s="157"/>
      <c r="BT62" s="157"/>
      <c r="BU62" s="157"/>
      <c r="BV62" s="157"/>
      <c r="BW62" s="157"/>
      <c r="BX62" s="157"/>
      <c r="BY62" s="157"/>
      <c r="BZ62" s="157"/>
      <c r="CA62" s="157"/>
      <c r="CB62" s="157"/>
      <c r="CC62" s="157"/>
      <c r="CD62" s="157"/>
      <c r="CE62" s="157"/>
      <c r="CF62" s="157"/>
      <c r="CG62" s="157"/>
      <c r="CH62" s="157"/>
      <c r="CI62" s="157"/>
      <c r="CJ62" s="157"/>
      <c r="CK62" s="157"/>
      <c r="CL62" s="157"/>
      <c r="CM62" s="157"/>
      <c r="CN62" s="157"/>
      <c r="CO62" s="157"/>
      <c r="CP62" s="157"/>
      <c r="CQ62" s="157"/>
      <c r="CR62" s="157"/>
      <c r="CS62" s="157"/>
      <c r="CT62" s="157"/>
      <c r="CU62" s="157"/>
      <c r="CV62" s="157"/>
      <c r="CW62" s="157"/>
      <c r="CX62" s="157"/>
      <c r="CY62" s="158"/>
    </row>
    <row r="63" spans="1:103" s="1" customFormat="1" ht="58.5" customHeight="1" x14ac:dyDescent="0.25">
      <c r="A63" s="1967"/>
      <c r="B63" s="1968"/>
      <c r="C63" s="154" t="s">
        <v>195</v>
      </c>
      <c r="D63" s="155" t="s">
        <v>267</v>
      </c>
      <c r="E63" s="156">
        <v>1</v>
      </c>
      <c r="F63" s="157"/>
      <c r="G63" s="157"/>
      <c r="H63" s="157">
        <v>1</v>
      </c>
      <c r="I63" s="157"/>
      <c r="J63" s="157"/>
      <c r="K63" s="157">
        <v>0.9</v>
      </c>
      <c r="L63" s="157"/>
      <c r="M63" s="157"/>
      <c r="N63" s="157"/>
      <c r="O63" s="157"/>
      <c r="P63" s="157"/>
      <c r="Q63" s="157"/>
      <c r="R63" s="157"/>
      <c r="S63" s="157"/>
      <c r="T63" s="157"/>
      <c r="U63" s="157"/>
      <c r="V63" s="157"/>
      <c r="W63" s="157"/>
      <c r="X63" s="157"/>
      <c r="Y63" s="157"/>
      <c r="Z63" s="157"/>
      <c r="AA63" s="157"/>
      <c r="AB63" s="157"/>
      <c r="AC63" s="157"/>
      <c r="AD63" s="157"/>
      <c r="AE63" s="157"/>
      <c r="AF63" s="157"/>
      <c r="AG63" s="157"/>
      <c r="AH63" s="157"/>
      <c r="AI63" s="157"/>
      <c r="AJ63" s="157"/>
      <c r="AK63" s="157"/>
      <c r="AL63" s="157"/>
      <c r="AM63" s="157"/>
      <c r="AN63" s="157"/>
      <c r="AO63" s="157"/>
      <c r="AP63" s="157"/>
      <c r="AQ63" s="157"/>
      <c r="AR63" s="157"/>
      <c r="AS63" s="157"/>
      <c r="AT63" s="157"/>
      <c r="AU63" s="157"/>
      <c r="AV63" s="157"/>
      <c r="AW63" s="157"/>
      <c r="AX63" s="157"/>
      <c r="AY63" s="157"/>
      <c r="AZ63" s="157"/>
      <c r="BA63" s="157"/>
      <c r="BB63" s="157"/>
      <c r="BC63" s="157"/>
      <c r="BD63" s="157"/>
      <c r="BE63" s="157"/>
      <c r="BF63" s="157"/>
      <c r="BG63" s="157"/>
      <c r="BH63" s="157"/>
      <c r="BI63" s="157"/>
      <c r="BJ63" s="157"/>
      <c r="BK63" s="157"/>
      <c r="BL63" s="157"/>
      <c r="BM63" s="157"/>
      <c r="BN63" s="157"/>
      <c r="BO63" s="157"/>
      <c r="BP63" s="157"/>
      <c r="BQ63" s="157"/>
      <c r="BR63" s="157"/>
      <c r="BS63" s="157"/>
      <c r="BT63" s="157"/>
      <c r="BU63" s="157"/>
      <c r="BV63" s="157"/>
      <c r="BW63" s="157"/>
      <c r="BX63" s="157"/>
      <c r="BY63" s="157"/>
      <c r="BZ63" s="157"/>
      <c r="CA63" s="157"/>
      <c r="CB63" s="157"/>
      <c r="CC63" s="157"/>
      <c r="CD63" s="157"/>
      <c r="CE63" s="157"/>
      <c r="CF63" s="157"/>
      <c r="CG63" s="157"/>
      <c r="CH63" s="157"/>
      <c r="CI63" s="157"/>
      <c r="CJ63" s="157"/>
      <c r="CK63" s="157"/>
      <c r="CL63" s="157"/>
      <c r="CM63" s="157"/>
      <c r="CN63" s="157"/>
      <c r="CO63" s="157"/>
      <c r="CP63" s="157"/>
      <c r="CQ63" s="157"/>
      <c r="CR63" s="157"/>
      <c r="CS63" s="157"/>
      <c r="CT63" s="157"/>
      <c r="CU63" s="157"/>
      <c r="CV63" s="157"/>
      <c r="CW63" s="157"/>
      <c r="CX63" s="157"/>
      <c r="CY63" s="158"/>
    </row>
    <row r="64" spans="1:103" s="1" customFormat="1" ht="58.5" customHeight="1" x14ac:dyDescent="0.25">
      <c r="A64" s="1969" t="s">
        <v>268</v>
      </c>
      <c r="B64" s="1971" t="s">
        <v>269</v>
      </c>
      <c r="C64" s="196" t="s">
        <v>187</v>
      </c>
      <c r="D64" s="195"/>
      <c r="E64" s="161"/>
      <c r="F64" s="162"/>
      <c r="G64" s="162"/>
      <c r="H64" s="162"/>
      <c r="I64" s="162"/>
      <c r="J64" s="162"/>
      <c r="K64" s="162"/>
      <c r="L64" s="162"/>
      <c r="M64" s="162"/>
      <c r="N64" s="162"/>
      <c r="O64" s="162"/>
      <c r="P64" s="162"/>
      <c r="Q64" s="162"/>
      <c r="R64" s="162"/>
      <c r="S64" s="162"/>
      <c r="T64" s="162"/>
      <c r="U64" s="162"/>
      <c r="V64" s="162"/>
      <c r="W64" s="162"/>
      <c r="X64" s="162"/>
      <c r="Y64" s="162"/>
      <c r="Z64" s="162"/>
      <c r="AA64" s="162"/>
      <c r="AB64" s="162"/>
      <c r="AC64" s="162"/>
      <c r="AD64" s="162"/>
      <c r="AE64" s="162"/>
      <c r="AF64" s="162"/>
      <c r="AG64" s="162"/>
      <c r="AH64" s="162"/>
      <c r="AI64" s="162"/>
      <c r="AJ64" s="162"/>
      <c r="AK64" s="162"/>
      <c r="AL64" s="162"/>
      <c r="AM64" s="162"/>
      <c r="AN64" s="162"/>
      <c r="AO64" s="162"/>
      <c r="AP64" s="162"/>
      <c r="AQ64" s="162"/>
      <c r="AR64" s="162"/>
      <c r="AS64" s="162"/>
      <c r="AT64" s="162"/>
      <c r="AU64" s="162"/>
      <c r="AV64" s="162"/>
      <c r="AW64" s="162"/>
      <c r="AX64" s="162"/>
      <c r="AY64" s="162"/>
      <c r="AZ64" s="162"/>
      <c r="BA64" s="162"/>
      <c r="BB64" s="162"/>
      <c r="BC64" s="162"/>
      <c r="BD64" s="162"/>
      <c r="BE64" s="162"/>
      <c r="BF64" s="162"/>
      <c r="BG64" s="162"/>
      <c r="BH64" s="162"/>
      <c r="BI64" s="162"/>
      <c r="BJ64" s="162"/>
      <c r="BK64" s="162"/>
      <c r="BL64" s="162"/>
      <c r="BM64" s="162"/>
      <c r="BN64" s="162"/>
      <c r="BO64" s="162"/>
      <c r="BP64" s="162"/>
      <c r="BQ64" s="162"/>
      <c r="BR64" s="162"/>
      <c r="BS64" s="162"/>
      <c r="BT64" s="162"/>
      <c r="BU64" s="162"/>
      <c r="BV64" s="162"/>
      <c r="BW64" s="162"/>
      <c r="BX64" s="162"/>
      <c r="BY64" s="162"/>
      <c r="BZ64" s="162"/>
      <c r="CA64" s="162"/>
      <c r="CB64" s="162"/>
      <c r="CC64" s="162"/>
      <c r="CD64" s="162"/>
      <c r="CE64" s="162"/>
      <c r="CF64" s="162"/>
      <c r="CG64" s="162"/>
      <c r="CH64" s="162"/>
      <c r="CI64" s="162"/>
      <c r="CJ64" s="162"/>
      <c r="CK64" s="162"/>
      <c r="CL64" s="162"/>
      <c r="CM64" s="162"/>
      <c r="CN64" s="162"/>
      <c r="CO64" s="162"/>
      <c r="CP64" s="162"/>
      <c r="CQ64" s="162"/>
      <c r="CR64" s="162"/>
      <c r="CS64" s="162"/>
      <c r="CT64" s="162"/>
      <c r="CU64" s="162"/>
      <c r="CV64" s="162"/>
      <c r="CW64" s="162"/>
      <c r="CX64" s="162"/>
      <c r="CY64" s="163"/>
    </row>
    <row r="65" spans="1:105" s="1" customFormat="1" ht="58.5" customHeight="1" x14ac:dyDescent="0.25">
      <c r="A65" s="1970"/>
      <c r="B65" s="1972"/>
      <c r="C65" s="196" t="s">
        <v>193</v>
      </c>
      <c r="D65" s="195"/>
      <c r="E65" s="161"/>
      <c r="F65" s="162"/>
      <c r="G65" s="162"/>
      <c r="H65" s="162"/>
      <c r="I65" s="162"/>
      <c r="J65" s="162"/>
      <c r="K65" s="162"/>
      <c r="L65" s="162"/>
      <c r="M65" s="162"/>
      <c r="N65" s="162"/>
      <c r="O65" s="162"/>
      <c r="P65" s="162"/>
      <c r="Q65" s="162"/>
      <c r="R65" s="162"/>
      <c r="S65" s="162"/>
      <c r="T65" s="162"/>
      <c r="U65" s="162"/>
      <c r="V65" s="162"/>
      <c r="W65" s="162"/>
      <c r="X65" s="162"/>
      <c r="Y65" s="162"/>
      <c r="Z65" s="162"/>
      <c r="AA65" s="162"/>
      <c r="AB65" s="162"/>
      <c r="AC65" s="162"/>
      <c r="AD65" s="162"/>
      <c r="AE65" s="162"/>
      <c r="AF65" s="162"/>
      <c r="AG65" s="162"/>
      <c r="AH65" s="162"/>
      <c r="AI65" s="162"/>
      <c r="AJ65" s="162"/>
      <c r="AK65" s="162"/>
      <c r="AL65" s="162"/>
      <c r="AM65" s="162"/>
      <c r="AN65" s="162"/>
      <c r="AO65" s="162"/>
      <c r="AP65" s="162"/>
      <c r="AQ65" s="162"/>
      <c r="AR65" s="162"/>
      <c r="AS65" s="162"/>
      <c r="AT65" s="162"/>
      <c r="AU65" s="162"/>
      <c r="AV65" s="162"/>
      <c r="AW65" s="162"/>
      <c r="AX65" s="162"/>
      <c r="AY65" s="162"/>
      <c r="AZ65" s="162"/>
      <c r="BA65" s="162"/>
      <c r="BB65" s="162"/>
      <c r="BC65" s="162"/>
      <c r="BD65" s="162"/>
      <c r="BE65" s="162"/>
      <c r="BF65" s="162"/>
      <c r="BG65" s="162"/>
      <c r="BH65" s="162"/>
      <c r="BI65" s="162"/>
      <c r="BJ65" s="162"/>
      <c r="BK65" s="162"/>
      <c r="BL65" s="162"/>
      <c r="BM65" s="162"/>
      <c r="BN65" s="162"/>
      <c r="BO65" s="162"/>
      <c r="BP65" s="162"/>
      <c r="BQ65" s="162"/>
      <c r="BR65" s="162"/>
      <c r="BS65" s="162"/>
      <c r="BT65" s="162"/>
      <c r="BU65" s="162"/>
      <c r="BV65" s="162"/>
      <c r="BW65" s="162"/>
      <c r="BX65" s="162"/>
      <c r="BY65" s="162"/>
      <c r="BZ65" s="162"/>
      <c r="CA65" s="162"/>
      <c r="CB65" s="162"/>
      <c r="CC65" s="162"/>
      <c r="CD65" s="162"/>
      <c r="CE65" s="162"/>
      <c r="CF65" s="162"/>
      <c r="CG65" s="162"/>
      <c r="CH65" s="162"/>
      <c r="CI65" s="162"/>
      <c r="CJ65" s="162"/>
      <c r="CK65" s="162"/>
      <c r="CL65" s="162"/>
      <c r="CM65" s="162"/>
      <c r="CN65" s="162"/>
      <c r="CO65" s="162"/>
      <c r="CP65" s="162"/>
      <c r="CQ65" s="162"/>
      <c r="CR65" s="162"/>
      <c r="CS65" s="162"/>
      <c r="CT65" s="162"/>
      <c r="CU65" s="162"/>
      <c r="CV65" s="162"/>
      <c r="CW65" s="162"/>
      <c r="CX65" s="162"/>
      <c r="CY65" s="163"/>
    </row>
    <row r="66" spans="1:105" s="1" customFormat="1" ht="58.5" customHeight="1" x14ac:dyDescent="0.25">
      <c r="A66" s="1970"/>
      <c r="B66" s="1972"/>
      <c r="C66" s="196" t="s">
        <v>195</v>
      </c>
      <c r="D66" s="195"/>
      <c r="E66" s="161"/>
      <c r="F66" s="162"/>
      <c r="G66" s="162"/>
      <c r="H66" s="162"/>
      <c r="I66" s="162"/>
      <c r="J66" s="162"/>
      <c r="K66" s="162"/>
      <c r="L66" s="162"/>
      <c r="M66" s="162"/>
      <c r="N66" s="162"/>
      <c r="O66" s="162"/>
      <c r="P66" s="162"/>
      <c r="Q66" s="162"/>
      <c r="R66" s="162"/>
      <c r="S66" s="162"/>
      <c r="T66" s="162"/>
      <c r="U66" s="162"/>
      <c r="V66" s="162"/>
      <c r="W66" s="162"/>
      <c r="X66" s="162"/>
      <c r="Y66" s="162"/>
      <c r="Z66" s="162"/>
      <c r="AA66" s="162"/>
      <c r="AB66" s="162"/>
      <c r="AC66" s="162"/>
      <c r="AD66" s="162"/>
      <c r="AE66" s="162"/>
      <c r="AF66" s="162"/>
      <c r="AG66" s="162"/>
      <c r="AH66" s="162"/>
      <c r="AI66" s="162"/>
      <c r="AJ66" s="162"/>
      <c r="AK66" s="162"/>
      <c r="AL66" s="162"/>
      <c r="AM66" s="162"/>
      <c r="AN66" s="162"/>
      <c r="AO66" s="162"/>
      <c r="AP66" s="162"/>
      <c r="AQ66" s="162"/>
      <c r="AR66" s="162"/>
      <c r="AS66" s="162"/>
      <c r="AT66" s="162"/>
      <c r="AU66" s="162"/>
      <c r="AV66" s="162"/>
      <c r="AW66" s="162"/>
      <c r="AX66" s="162"/>
      <c r="AY66" s="162"/>
      <c r="AZ66" s="162"/>
      <c r="BA66" s="162"/>
      <c r="BB66" s="162"/>
      <c r="BC66" s="162"/>
      <c r="BD66" s="162"/>
      <c r="BE66" s="162"/>
      <c r="BF66" s="162"/>
      <c r="BG66" s="162"/>
      <c r="BH66" s="162"/>
      <c r="BI66" s="162"/>
      <c r="BJ66" s="162"/>
      <c r="BK66" s="162"/>
      <c r="BL66" s="162"/>
      <c r="BM66" s="162"/>
      <c r="BN66" s="162"/>
      <c r="BO66" s="162"/>
      <c r="BP66" s="162"/>
      <c r="BQ66" s="162"/>
      <c r="BR66" s="162"/>
      <c r="BS66" s="162"/>
      <c r="BT66" s="162"/>
      <c r="BU66" s="162"/>
      <c r="BV66" s="162"/>
      <c r="BW66" s="162"/>
      <c r="BX66" s="162"/>
      <c r="BY66" s="162"/>
      <c r="BZ66" s="162"/>
      <c r="CA66" s="162"/>
      <c r="CB66" s="162"/>
      <c r="CC66" s="162"/>
      <c r="CD66" s="162"/>
      <c r="CE66" s="162"/>
      <c r="CF66" s="162"/>
      <c r="CG66" s="162"/>
      <c r="CH66" s="162"/>
      <c r="CI66" s="162"/>
      <c r="CJ66" s="162"/>
      <c r="CK66" s="162"/>
      <c r="CL66" s="162"/>
      <c r="CM66" s="162"/>
      <c r="CN66" s="162"/>
      <c r="CO66" s="162"/>
      <c r="CP66" s="162"/>
      <c r="CQ66" s="162"/>
      <c r="CR66" s="162"/>
      <c r="CS66" s="162"/>
      <c r="CT66" s="162"/>
      <c r="CU66" s="162"/>
      <c r="CV66" s="162"/>
      <c r="CW66" s="162"/>
      <c r="CX66" s="162"/>
      <c r="CY66" s="163"/>
    </row>
    <row r="67" spans="1:105" s="1" customFormat="1" ht="56.25" customHeight="1" x14ac:dyDescent="0.25">
      <c r="A67" s="1970"/>
      <c r="B67" s="1972"/>
      <c r="C67" s="196" t="s">
        <v>187</v>
      </c>
      <c r="D67" s="164"/>
      <c r="E67" s="161"/>
      <c r="F67" s="162"/>
      <c r="G67" s="162"/>
      <c r="H67" s="162"/>
      <c r="I67" s="162"/>
      <c r="J67" s="162"/>
      <c r="K67" s="162"/>
      <c r="L67" s="162"/>
      <c r="M67" s="162"/>
      <c r="N67" s="162"/>
      <c r="O67" s="162"/>
      <c r="P67" s="162"/>
      <c r="Q67" s="162"/>
      <c r="R67" s="162"/>
      <c r="S67" s="162"/>
      <c r="T67" s="162"/>
      <c r="U67" s="162"/>
      <c r="V67" s="162"/>
      <c r="W67" s="162"/>
      <c r="X67" s="162"/>
      <c r="Y67" s="162"/>
      <c r="Z67" s="162"/>
      <c r="AA67" s="162"/>
      <c r="AB67" s="162"/>
      <c r="AC67" s="162"/>
      <c r="AD67" s="162"/>
      <c r="AE67" s="162"/>
      <c r="AF67" s="162"/>
      <c r="AG67" s="162"/>
      <c r="AH67" s="162"/>
      <c r="AI67" s="162"/>
      <c r="AJ67" s="162"/>
      <c r="AK67" s="162"/>
      <c r="AL67" s="162"/>
      <c r="AM67" s="162"/>
      <c r="AN67" s="162"/>
      <c r="AO67" s="162"/>
      <c r="AP67" s="162"/>
      <c r="AQ67" s="162"/>
      <c r="AR67" s="162"/>
      <c r="AS67" s="162"/>
      <c r="AT67" s="162"/>
      <c r="AU67" s="162"/>
      <c r="AV67" s="162"/>
      <c r="AW67" s="162"/>
      <c r="AX67" s="162"/>
      <c r="AY67" s="162"/>
      <c r="AZ67" s="162"/>
      <c r="BA67" s="162"/>
      <c r="BB67" s="162"/>
      <c r="BC67" s="162"/>
      <c r="BD67" s="162"/>
      <c r="BE67" s="162"/>
      <c r="BF67" s="162"/>
      <c r="BG67" s="162"/>
      <c r="BH67" s="162"/>
      <c r="BI67" s="162"/>
      <c r="BJ67" s="162"/>
      <c r="BK67" s="162"/>
      <c r="BL67" s="162"/>
      <c r="BM67" s="162"/>
      <c r="BN67" s="162"/>
      <c r="BO67" s="162"/>
      <c r="BP67" s="162"/>
      <c r="BQ67" s="162"/>
      <c r="BR67" s="162"/>
      <c r="BS67" s="162"/>
      <c r="BT67" s="162"/>
      <c r="BU67" s="162"/>
      <c r="BV67" s="162"/>
      <c r="BW67" s="162"/>
      <c r="BX67" s="162"/>
      <c r="BY67" s="162"/>
      <c r="BZ67" s="162"/>
      <c r="CA67" s="162"/>
      <c r="CB67" s="162"/>
      <c r="CC67" s="162"/>
      <c r="CD67" s="162"/>
      <c r="CE67" s="162"/>
      <c r="CF67" s="162"/>
      <c r="CG67" s="162"/>
      <c r="CH67" s="162"/>
      <c r="CI67" s="162"/>
      <c r="CJ67" s="162"/>
      <c r="CK67" s="162"/>
      <c r="CL67" s="162"/>
      <c r="CM67" s="162"/>
      <c r="CN67" s="162"/>
      <c r="CO67" s="162"/>
      <c r="CP67" s="162"/>
      <c r="CQ67" s="162"/>
      <c r="CR67" s="162"/>
      <c r="CS67" s="162"/>
      <c r="CT67" s="162"/>
      <c r="CU67" s="162"/>
      <c r="CV67" s="162"/>
      <c r="CW67" s="162"/>
      <c r="CX67" s="162"/>
      <c r="CY67" s="163"/>
    </row>
    <row r="68" spans="1:105" s="1" customFormat="1" ht="56.25" customHeight="1" x14ac:dyDescent="0.25">
      <c r="A68" s="1970"/>
      <c r="B68" s="1972"/>
      <c r="C68" s="196" t="s">
        <v>195</v>
      </c>
      <c r="D68" s="1237"/>
      <c r="E68" s="161"/>
      <c r="F68" s="162"/>
      <c r="G68" s="162"/>
      <c r="H68" s="162"/>
      <c r="I68" s="162"/>
      <c r="J68" s="162"/>
      <c r="K68" s="162"/>
      <c r="L68" s="162"/>
      <c r="M68" s="162"/>
      <c r="N68" s="162"/>
      <c r="O68" s="162"/>
      <c r="P68" s="162"/>
      <c r="Q68" s="162"/>
      <c r="R68" s="162"/>
      <c r="S68" s="162"/>
      <c r="T68" s="162"/>
      <c r="U68" s="162"/>
      <c r="V68" s="162"/>
      <c r="W68" s="162"/>
      <c r="X68" s="162"/>
      <c r="Y68" s="162"/>
      <c r="Z68" s="162"/>
      <c r="AA68" s="162"/>
      <c r="AB68" s="162"/>
      <c r="AC68" s="162"/>
      <c r="AD68" s="162"/>
      <c r="AE68" s="162"/>
      <c r="AF68" s="162"/>
      <c r="AG68" s="162"/>
      <c r="AH68" s="162"/>
      <c r="AI68" s="162"/>
      <c r="AJ68" s="162"/>
      <c r="AK68" s="162"/>
      <c r="AL68" s="162"/>
      <c r="AM68" s="162"/>
      <c r="AN68" s="162"/>
      <c r="AO68" s="162"/>
      <c r="AP68" s="162"/>
      <c r="AQ68" s="162"/>
      <c r="AR68" s="162"/>
      <c r="AS68" s="162"/>
      <c r="AT68" s="162"/>
      <c r="AU68" s="162"/>
      <c r="AV68" s="162"/>
      <c r="AW68" s="162"/>
      <c r="AX68" s="162"/>
      <c r="AY68" s="162"/>
      <c r="AZ68" s="162"/>
      <c r="BA68" s="162"/>
      <c r="BB68" s="162"/>
      <c r="BC68" s="162"/>
      <c r="BD68" s="162"/>
      <c r="BE68" s="162"/>
      <c r="BF68" s="162"/>
      <c r="BG68" s="162"/>
      <c r="BH68" s="162"/>
      <c r="BI68" s="162"/>
      <c r="BJ68" s="162"/>
      <c r="BK68" s="162"/>
      <c r="BL68" s="162"/>
      <c r="BM68" s="162"/>
      <c r="BN68" s="162"/>
      <c r="BO68" s="162"/>
      <c r="BP68" s="162"/>
      <c r="BQ68" s="162"/>
      <c r="BR68" s="162"/>
      <c r="BS68" s="162"/>
      <c r="BT68" s="162"/>
      <c r="BU68" s="162"/>
      <c r="BV68" s="162"/>
      <c r="BW68" s="162"/>
      <c r="BX68" s="162"/>
      <c r="BY68" s="162"/>
      <c r="BZ68" s="162"/>
      <c r="CA68" s="162"/>
      <c r="CB68" s="162"/>
      <c r="CC68" s="162"/>
      <c r="CD68" s="162"/>
      <c r="CE68" s="162"/>
      <c r="CF68" s="162"/>
      <c r="CG68" s="162"/>
      <c r="CH68" s="162"/>
      <c r="CI68" s="162"/>
      <c r="CJ68" s="162"/>
      <c r="CK68" s="162"/>
      <c r="CL68" s="162"/>
      <c r="CM68" s="162"/>
      <c r="CN68" s="162"/>
      <c r="CO68" s="162"/>
      <c r="CP68" s="162"/>
      <c r="CQ68" s="162"/>
      <c r="CR68" s="162"/>
      <c r="CS68" s="162"/>
      <c r="CT68" s="162"/>
      <c r="CU68" s="162"/>
      <c r="CV68" s="162"/>
      <c r="CW68" s="162"/>
      <c r="CX68" s="162"/>
      <c r="CY68" s="163"/>
    </row>
    <row r="69" spans="1:105" s="1" customFormat="1" ht="56.25" customHeight="1" thickBot="1" x14ac:dyDescent="0.3">
      <c r="A69" s="1970"/>
      <c r="B69" s="1973"/>
      <c r="C69" s="196" t="s">
        <v>187</v>
      </c>
      <c r="D69" s="166"/>
      <c r="E69" s="167"/>
      <c r="F69" s="168"/>
      <c r="G69" s="168"/>
      <c r="H69" s="168"/>
      <c r="I69" s="168"/>
      <c r="J69" s="168"/>
      <c r="K69" s="168"/>
      <c r="L69" s="168"/>
      <c r="M69" s="168"/>
      <c r="N69" s="168"/>
      <c r="O69" s="168"/>
      <c r="P69" s="168"/>
      <c r="Q69" s="168"/>
      <c r="R69" s="168"/>
      <c r="S69" s="168"/>
      <c r="T69" s="168"/>
      <c r="U69" s="168"/>
      <c r="V69" s="168"/>
      <c r="W69" s="168"/>
      <c r="X69" s="168"/>
      <c r="Y69" s="168"/>
      <c r="Z69" s="168"/>
      <c r="AA69" s="168"/>
      <c r="AB69" s="168"/>
      <c r="AC69" s="168"/>
      <c r="AD69" s="168"/>
      <c r="AE69" s="168"/>
      <c r="AF69" s="168"/>
      <c r="AG69" s="168"/>
      <c r="AH69" s="168"/>
      <c r="AI69" s="168"/>
      <c r="AJ69" s="168"/>
      <c r="AK69" s="168"/>
      <c r="AL69" s="168"/>
      <c r="AM69" s="168"/>
      <c r="AN69" s="168"/>
      <c r="AO69" s="168"/>
      <c r="AP69" s="168"/>
      <c r="AQ69" s="168"/>
      <c r="AR69" s="168"/>
      <c r="AS69" s="168"/>
      <c r="AT69" s="168"/>
      <c r="AU69" s="168"/>
      <c r="AV69" s="168"/>
      <c r="AW69" s="168"/>
      <c r="AX69" s="168"/>
      <c r="AY69" s="168"/>
      <c r="AZ69" s="168"/>
      <c r="BA69" s="168"/>
      <c r="BB69" s="168"/>
      <c r="BC69" s="168"/>
      <c r="BD69" s="168"/>
      <c r="BE69" s="168"/>
      <c r="BF69" s="168"/>
      <c r="BG69" s="168"/>
      <c r="BH69" s="168"/>
      <c r="BI69" s="168"/>
      <c r="BJ69" s="168"/>
      <c r="BK69" s="168"/>
      <c r="BL69" s="168"/>
      <c r="BM69" s="168"/>
      <c r="BN69" s="168"/>
      <c r="BO69" s="168"/>
      <c r="BP69" s="168"/>
      <c r="BQ69" s="168"/>
      <c r="BR69" s="168"/>
      <c r="BS69" s="168"/>
      <c r="BT69" s="168"/>
      <c r="BU69" s="168"/>
      <c r="BV69" s="168"/>
      <c r="BW69" s="168"/>
      <c r="BX69" s="168"/>
      <c r="BY69" s="168"/>
      <c r="BZ69" s="168"/>
      <c r="CA69" s="168"/>
      <c r="CB69" s="168"/>
      <c r="CC69" s="168"/>
      <c r="CD69" s="168"/>
      <c r="CE69" s="168"/>
      <c r="CF69" s="168"/>
      <c r="CG69" s="168"/>
      <c r="CH69" s="168"/>
      <c r="CI69" s="168"/>
      <c r="CJ69" s="168"/>
      <c r="CK69" s="168"/>
      <c r="CL69" s="168"/>
      <c r="CM69" s="168"/>
      <c r="CN69" s="168"/>
      <c r="CO69" s="168"/>
      <c r="CP69" s="168"/>
      <c r="CQ69" s="168"/>
      <c r="CR69" s="168"/>
      <c r="CS69" s="168"/>
      <c r="CT69" s="168"/>
      <c r="CU69" s="168"/>
      <c r="CV69" s="168"/>
      <c r="CW69" s="168"/>
      <c r="CX69" s="168"/>
      <c r="CY69" s="169"/>
    </row>
    <row r="70" spans="1:105" s="170" customFormat="1" ht="18" x14ac:dyDescent="0.25">
      <c r="C70" s="171"/>
      <c r="E70" s="172"/>
      <c r="F70" s="172"/>
      <c r="G70" s="172"/>
      <c r="H70" s="172"/>
      <c r="I70" s="172"/>
      <c r="J70" s="172"/>
      <c r="K70" s="172"/>
      <c r="L70" s="172"/>
      <c r="M70" s="172"/>
      <c r="N70" s="172"/>
      <c r="O70" s="172"/>
      <c r="P70" s="172"/>
      <c r="Q70" s="172"/>
      <c r="R70" s="172"/>
      <c r="S70" s="173"/>
      <c r="T70" s="173"/>
      <c r="U70" s="173"/>
      <c r="V70" s="173"/>
      <c r="W70" s="173"/>
      <c r="X70" s="173"/>
      <c r="Y70" s="173"/>
      <c r="Z70" s="173"/>
      <c r="AA70" s="173"/>
      <c r="AB70" s="173"/>
      <c r="AC70" s="173"/>
      <c r="AD70" s="173"/>
      <c r="AE70" s="173"/>
      <c r="AF70" s="173"/>
      <c r="AG70" s="173"/>
      <c r="AH70" s="173"/>
      <c r="AI70" s="173"/>
      <c r="AJ70" s="173"/>
      <c r="AK70" s="173"/>
      <c r="AL70" s="173"/>
      <c r="AM70" s="173"/>
      <c r="AN70" s="173"/>
      <c r="AO70" s="173"/>
      <c r="AP70" s="173"/>
      <c r="AQ70" s="173"/>
      <c r="AR70" s="173"/>
      <c r="AS70" s="173"/>
      <c r="AT70" s="173"/>
      <c r="AU70" s="173"/>
      <c r="AV70" s="173"/>
      <c r="AW70" s="173"/>
      <c r="AX70" s="173"/>
      <c r="AY70" s="173"/>
      <c r="AZ70" s="173"/>
      <c r="BA70" s="173"/>
      <c r="BB70" s="173"/>
      <c r="BC70" s="173"/>
      <c r="BD70" s="173"/>
      <c r="BE70" s="173"/>
    </row>
    <row r="71" spans="1:105" s="176" customFormat="1" ht="18" x14ac:dyDescent="0.25">
      <c r="C71" s="2537"/>
      <c r="D71" s="2538" t="s">
        <v>270</v>
      </c>
      <c r="E71" s="2539"/>
      <c r="F71" s="2539"/>
      <c r="G71" s="2540"/>
      <c r="H71" s="2540"/>
      <c r="I71" s="2540"/>
      <c r="J71" s="2540"/>
      <c r="K71" s="2540"/>
      <c r="L71" s="2540"/>
      <c r="M71" s="2540"/>
      <c r="N71" s="2540"/>
      <c r="O71" s="2540"/>
      <c r="P71" s="2540"/>
      <c r="Q71" s="2540"/>
      <c r="R71" s="2540"/>
      <c r="S71" s="2541"/>
      <c r="T71" s="2542"/>
      <c r="U71" s="2542"/>
      <c r="V71" s="2542"/>
      <c r="W71" s="2542"/>
      <c r="X71" s="2542"/>
      <c r="Y71" s="2542"/>
      <c r="Z71" s="2542"/>
      <c r="AA71" s="2542"/>
      <c r="AB71" s="2542"/>
      <c r="AC71" s="2542"/>
      <c r="AD71" s="2542"/>
      <c r="AE71" s="2542"/>
      <c r="AF71" s="2542"/>
      <c r="AG71" s="2542"/>
      <c r="AH71" s="2542"/>
      <c r="AI71" s="2542"/>
      <c r="AJ71" s="2542"/>
      <c r="AK71" s="2542"/>
      <c r="AL71" s="2542"/>
      <c r="AM71" s="2542"/>
      <c r="AN71" s="2542"/>
      <c r="AO71" s="2542"/>
      <c r="AP71" s="2542"/>
      <c r="AQ71" s="2542"/>
      <c r="AR71" s="2542"/>
      <c r="AS71" s="2542"/>
      <c r="AT71" s="2542"/>
      <c r="AU71" s="2542"/>
      <c r="AV71" s="2542"/>
      <c r="AW71" s="2542"/>
      <c r="AX71" s="2542"/>
      <c r="AY71" s="2542"/>
      <c r="AZ71" s="2542"/>
      <c r="BA71" s="2542"/>
      <c r="BB71" s="2542"/>
      <c r="BC71" s="2542"/>
      <c r="BD71" s="2542"/>
      <c r="BE71" s="2542"/>
    </row>
    <row r="72" spans="1:105" s="176" customFormat="1" ht="18" x14ac:dyDescent="0.25">
      <c r="C72" s="2537"/>
      <c r="D72" s="174" t="s">
        <v>271</v>
      </c>
      <c r="E72" s="175">
        <f>IFERROR(INDEX(TablaMaxCalifPos[],MATCH(E16,HALLAZGOS,0),MATCH($B$8,TablaMaxCalifPos[#Headers],0))*IFERROR(SEARCH("*FISCAL*",E16,1)*(1-(E17/E9)),1)*(AVERAGEIF($C$22:$C$69,"*EFICACIA*",E22:E69)),"")</f>
        <v>0.69363636363636361</v>
      </c>
      <c r="F72" s="175">
        <f>IFERROR(INDEX(TablaMaxCalifPos[],MATCH(F16,HALLAZGOS,0),MATCH($B$8,TablaMaxCalifPos[#Headers],0))*IFERROR(SEARCH("*FISCAL*",F16,1)*(1-(F17/F9)),1)*(AVERAGEIF($C$22:$C$69,"*EFICACIA*",F22:F69)),"")</f>
        <v>0.76888888888888896</v>
      </c>
      <c r="G72" s="175">
        <f>IFERROR(INDEX(TablaMaxCalifPos[],MATCH(G16,HALLAZGOS,0),MATCH($B$8,TablaMaxCalifPos[#Headers],0))*IFERROR(SEARCH("*FISCAL*",G16,1)*(1-(G17/G9)),1)*(AVERAGEIF($C$22:$C$69,"*EFICACIA*",G22:G69)),"")</f>
        <v>0.19568819031435852</v>
      </c>
      <c r="H72" s="175">
        <f>IFERROR(INDEX(TablaMaxCalifPos[],MATCH(H16,HALLAZGOS,0),MATCH($B$8,TablaMaxCalifPos[#Headers],0))*IFERROR(SEARCH("*FISCAL*",H16,1)*(1-(H17/H9)),1)*(AVERAGEIF($C$22:$C$69,"*EFICACIA*",H22:H69)),"")</f>
        <v>0.85</v>
      </c>
      <c r="I72" s="175">
        <f>IFERROR(INDEX(TablaMaxCalifPos[],MATCH(I16,HALLAZGOS,0),MATCH($B$8,TablaMaxCalifPos[#Headers],0))*IFERROR(SEARCH("*FISCAL*",I16,1)*(1-(I17/I9)),1)*(AVERAGEIF($C$22:$C$69,"*EFICACIA*",I22:I69)),"")</f>
        <v>1</v>
      </c>
      <c r="J72" s="175">
        <f>IFERROR(INDEX(TablaMaxCalifPos[],MATCH(J16,HALLAZGOS,0),MATCH($B$8,TablaMaxCalifPos[#Headers],0))*IFERROR(SEARCH("*FISCAL*",J16,1)*(1-(J17/J9)),1)*(AVERAGEIF($C$22:$C$69,"*EFICACIA*",J22:J69)),"")</f>
        <v>0.71272727272727288</v>
      </c>
      <c r="K72" s="175">
        <f>IFERROR(INDEX(TablaMaxCalifPos[],MATCH(K16,HALLAZGOS,0),MATCH($B$8,TablaMaxCalifPos[#Headers],0))*IFERROR(SEARCH("*FISCAL*",K16,1)*(1-(K17/K9)),1)*(AVERAGEIF($C$22:$C$69,"*EFICACIA*",K22:K69)),"")</f>
        <v>0.80357142857142871</v>
      </c>
      <c r="L72" s="175" t="str">
        <f>IFERROR(INDEX(TablaMaxCalifPos[],MATCH(L16,HALLAZGOS,0),MATCH($B$8,TablaMaxCalifPos[#Headers],0))*IFERROR(SEARCH("*FISCAL*",L16,1)*(1-(L17/L9)),1)*(AVERAGEIF($C$22:$C$69,"*EFICACIA*",L22:L69)),"")</f>
        <v/>
      </c>
      <c r="M72" s="175" t="str">
        <f>IFERROR(INDEX(TablaMaxCalifPos[],MATCH(M16,HALLAZGOS,0),MATCH($B$8,TablaMaxCalifPos[#Headers],0))*IFERROR(SEARCH("*FISCAL*",M16,1)*(1-(M17/M9)),1)*(AVERAGEIF($C$22:$C$69,"*EFICACIA*",M22:M69)),"")</f>
        <v/>
      </c>
      <c r="N72" s="175" t="str">
        <f>IFERROR(INDEX(TablaMaxCalifPos[],MATCH(N16,HALLAZGOS,0),MATCH($B$8,TablaMaxCalifPos[#Headers],0))*IFERROR(SEARCH("*FISCAL*",N16,1)*(1-(N17/N9)),1)*(AVERAGEIF($C$22:$C$69,"*EFICACIA*",N22:N69)),"")</f>
        <v/>
      </c>
      <c r="O72" s="175" t="str">
        <f>IFERROR(INDEX(TablaMaxCalifPos[],MATCH(O16,HALLAZGOS,0),MATCH($B$8,TablaMaxCalifPos[#Headers],0))*IFERROR(SEARCH("*FISCAL*",O16,1)*(1-(O17/O9)),1)*(AVERAGEIF($C$22:$C$69,"*EFICACIA*",O22:O69)),"")</f>
        <v/>
      </c>
      <c r="P72" s="175" t="str">
        <f>IFERROR(INDEX(TablaMaxCalifPos[],MATCH(P16,HALLAZGOS,0),MATCH($B$8,TablaMaxCalifPos[#Headers],0))*IFERROR(SEARCH("*FISCAL*",P16,1)*(1-(P17/P9)),1)*(AVERAGEIF($C$22:$C$69,"*EFICACIA*",P22:P69)),"")</f>
        <v/>
      </c>
      <c r="Q72" s="175" t="str">
        <f>IFERROR(INDEX(TablaMaxCalifPos[],MATCH(Q16,HALLAZGOS,0),MATCH($B$8,TablaMaxCalifPos[#Headers],0))*IFERROR(SEARCH("*FISCAL*",Q16,1)*(1-(Q17/Q9)),1)*(AVERAGEIF($C$22:$C$69,"*EFICACIA*",Q22:Q69)),"")</f>
        <v/>
      </c>
      <c r="R72" s="175" t="str">
        <f>IFERROR(INDEX(TablaMaxCalifPos[],MATCH(R16,HALLAZGOS,0),MATCH($B$8,TablaMaxCalifPos[#Headers],0))*IFERROR(SEARCH("*FISCAL*",R16,1)*(1-(R17/R9)),1)*(AVERAGEIF($C$22:$C$69,"*EFICACIA*",R22:R69)),"")</f>
        <v/>
      </c>
      <c r="S72" s="175" t="str">
        <f>IFERROR(INDEX(TablaMaxCalifPos[],MATCH(S16,HALLAZGOS,0),MATCH($B$8,TablaMaxCalifPos[#Headers],0))*IFERROR(SEARCH("*FISCAL*",S16,1)*(1-(S17/S9)),1)*(AVERAGEIF($C$22:$C$69,"*EFICACIA*",S22:S69)),"")</f>
        <v/>
      </c>
      <c r="T72" s="175" t="str">
        <f>IFERROR(INDEX(TablaMaxCalifPos[],MATCH(T16,HALLAZGOS,0),MATCH($B$8,TablaMaxCalifPos[#Headers],0))*IFERROR(SEARCH("*FISCAL*",T16,1)*(1-(T17/T9)),1)*(AVERAGEIF($C$22:$C$69,"*EFICACIA*",T22:T69)),"")</f>
        <v/>
      </c>
      <c r="U72" s="175" t="str">
        <f>IFERROR(INDEX(TablaMaxCalifPos[],MATCH(U16,HALLAZGOS,0),MATCH($B$8,TablaMaxCalifPos[#Headers],0))*IFERROR(SEARCH("*FISCAL*",U16,1)*(1-(U17/U9)),1)*(AVERAGEIF($C$22:$C$69,"*EFICACIA*",U22:U69)),"")</f>
        <v/>
      </c>
      <c r="V72" s="175" t="str">
        <f>IFERROR(INDEX(TablaMaxCalifPos[],MATCH(V16,HALLAZGOS,0),MATCH($B$8,TablaMaxCalifPos[#Headers],0))*IFERROR(SEARCH("*FISCAL*",V16,1)*(1-(V17/V9)),1)*(AVERAGEIF($C$22:$C$69,"*EFICACIA*",V22:V69)),"")</f>
        <v/>
      </c>
      <c r="W72" s="175" t="str">
        <f>IFERROR(INDEX(TablaMaxCalifPos[],MATCH(W16,HALLAZGOS,0),MATCH($B$8,TablaMaxCalifPos[#Headers],0))*IFERROR(SEARCH("*FISCAL*",W16,1)*(1-(W17/W9)),1)*(AVERAGEIF($C$22:$C$69,"*EFICACIA*",W22:W69)),"")</f>
        <v/>
      </c>
      <c r="X72" s="175" t="str">
        <f>IFERROR(INDEX(TablaMaxCalifPos[],MATCH(X16,HALLAZGOS,0),MATCH($B$8,TablaMaxCalifPos[#Headers],0))*IFERROR(SEARCH("*FISCAL*",X16,1)*(1-(X17/X9)),1)*(AVERAGEIF($C$22:$C$69,"*EFICACIA*",X22:X69)),"")</f>
        <v/>
      </c>
      <c r="Y72" s="175" t="str">
        <f>IFERROR(INDEX(TablaMaxCalifPos[],MATCH(Y16,HALLAZGOS,0),MATCH($B$8,TablaMaxCalifPos[#Headers],0))*IFERROR(SEARCH("*FISCAL*",Y16,1)*(1-(Y17/Y9)),1)*(AVERAGEIF($C$22:$C$69,"*EFICACIA*",Y22:Y69)),"")</f>
        <v/>
      </c>
      <c r="Z72" s="175" t="str">
        <f>IFERROR(INDEX(TablaMaxCalifPos[],MATCH(Z16,HALLAZGOS,0),MATCH($B$8,TablaMaxCalifPos[#Headers],0))*IFERROR(SEARCH("*FISCAL*",Z16,1)*(1-(Z17/Z9)),1)*(AVERAGEIF($C$22:$C$69,"*EFICACIA*",Z22:Z69)),"")</f>
        <v/>
      </c>
      <c r="AA72" s="175" t="str">
        <f>IFERROR(INDEX(TablaMaxCalifPos[],MATCH(AA16,HALLAZGOS,0),MATCH($B$8,TablaMaxCalifPos[#Headers],0))*IFERROR(SEARCH("*FISCAL*",AA16,1)*(1-(AA17/AA9)),1)*(AVERAGEIF($C$22:$C$69,"*EFICACIA*",AA22:AA69)),"")</f>
        <v/>
      </c>
      <c r="AB72" s="175" t="str">
        <f>IFERROR(INDEX(TablaMaxCalifPos[],MATCH(AB16,HALLAZGOS,0),MATCH($B$8,TablaMaxCalifPos[#Headers],0))*IFERROR(SEARCH("*FISCAL*",AB16,1)*(1-(AB17/AB9)),1)*(AVERAGEIF($C$22:$C$69,"*EFICACIA*",AB22:AB69)),"")</f>
        <v/>
      </c>
      <c r="AC72" s="175" t="str">
        <f>IFERROR(INDEX(TablaMaxCalifPos[],MATCH(AC16,HALLAZGOS,0),MATCH($B$8,TablaMaxCalifPos[#Headers],0))*IFERROR(SEARCH("*FISCAL*",AC16,1)*(1-(AC17/AC9)),1)*(AVERAGEIF($C$22:$C$69,"*EFICACIA*",AC22:AC69)),"")</f>
        <v/>
      </c>
      <c r="AD72" s="175" t="str">
        <f>IFERROR(INDEX(TablaMaxCalifPos[],MATCH(AD16,HALLAZGOS,0),MATCH($B$8,TablaMaxCalifPos[#Headers],0))*IFERROR(SEARCH("*FISCAL*",AD16,1)*(1-(AD17/AD9)),1)*(AVERAGEIF($C$22:$C$69,"*EFICACIA*",AD22:AD69)),"")</f>
        <v/>
      </c>
      <c r="AE72" s="175" t="str">
        <f>IFERROR(INDEX(TablaMaxCalifPos[],MATCH(AE16,HALLAZGOS,0),MATCH($B$8,TablaMaxCalifPos[#Headers],0))*IFERROR(SEARCH("*FISCAL*",AE16,1)*(1-(AE17/AE9)),1)*(AVERAGEIF($C$22:$C$69,"*EFICACIA*",AE22:AE69)),"")</f>
        <v/>
      </c>
      <c r="AF72" s="175" t="str">
        <f>IFERROR(INDEX(TablaMaxCalifPos[],MATCH(AF16,HALLAZGOS,0),MATCH($B$8,TablaMaxCalifPos[#Headers],0))*IFERROR(SEARCH("*FISCAL*",AF16,1)*(1-(AF17/AF9)),1)*(AVERAGEIF($C$22:$C$69,"*EFICACIA*",AF22:AF69)),"")</f>
        <v/>
      </c>
      <c r="AG72" s="175" t="str">
        <f>IFERROR(INDEX(TablaMaxCalifPos[],MATCH(AG16,HALLAZGOS,0),MATCH($B$8,TablaMaxCalifPos[#Headers],0))*IFERROR(SEARCH("*FISCAL*",AG16,1)*(1-(AG17/AG9)),1)*(AVERAGEIF($C$22:$C$69,"*EFICACIA*",AG22:AG69)),"")</f>
        <v/>
      </c>
      <c r="AH72" s="175" t="str">
        <f>IFERROR(INDEX(TablaMaxCalifPos[],MATCH(AH16,HALLAZGOS,0),MATCH($B$8,TablaMaxCalifPos[#Headers],0))*IFERROR(SEARCH("*FISCAL*",AH16,1)*(1-(AH17/AH9)),1)*(AVERAGEIF($C$22:$C$69,"*EFICACIA*",AH22:AH69)),"")</f>
        <v/>
      </c>
      <c r="AI72" s="175" t="str">
        <f>IFERROR(INDEX(TablaMaxCalifPos[],MATCH(AI16,HALLAZGOS,0),MATCH($B$8,TablaMaxCalifPos[#Headers],0))*IFERROR(SEARCH("*FISCAL*",AI16,1)*(1-(AI17/AI9)),1)*(AVERAGEIF($C$22:$C$69,"*EFICACIA*",AI22:AI69)),"")</f>
        <v/>
      </c>
      <c r="AJ72" s="175" t="str">
        <f>IFERROR(INDEX(TablaMaxCalifPos[],MATCH(AJ16,HALLAZGOS,0),MATCH($B$8,TablaMaxCalifPos[#Headers],0))*IFERROR(SEARCH("*FISCAL*",AJ16,1)*(1-(AJ17/AJ9)),1)*(AVERAGEIF($C$22:$C$69,"*EFICACIA*",AJ22:AJ69)),"")</f>
        <v/>
      </c>
      <c r="AK72" s="175" t="str">
        <f>IFERROR(INDEX(TablaMaxCalifPos[],MATCH(AK16,HALLAZGOS,0),MATCH($B$8,TablaMaxCalifPos[#Headers],0))*IFERROR(SEARCH("*FISCAL*",AK16,1)*(1-(AK17/AK9)),1)*(AVERAGEIF($C$22:$C$69,"*EFICACIA*",AK22:AK69)),"")</f>
        <v/>
      </c>
      <c r="AL72" s="175" t="str">
        <f>IFERROR(INDEX(TablaMaxCalifPos[],MATCH(AL16,HALLAZGOS,0),MATCH($B$8,TablaMaxCalifPos[#Headers],0))*IFERROR(SEARCH("*FISCAL*",AL16,1)*(1-(AL17/AL9)),1)*(AVERAGEIF($C$22:$C$69,"*EFICACIA*",AL22:AL69)),"")</f>
        <v/>
      </c>
      <c r="AM72" s="175" t="str">
        <f>IFERROR(INDEX(TablaMaxCalifPos[],MATCH(AM16,HALLAZGOS,0),MATCH($B$8,TablaMaxCalifPos[#Headers],0))*IFERROR(SEARCH("*FISCAL*",AM16,1)*(1-(AM17/AM9)),1)*(AVERAGEIF($C$22:$C$69,"*EFICACIA*",AM22:AM69)),"")</f>
        <v/>
      </c>
      <c r="AN72" s="175" t="str">
        <f>IFERROR(INDEX(TablaMaxCalifPos[],MATCH(AN16,HALLAZGOS,0),MATCH($B$8,TablaMaxCalifPos[#Headers],0))*IFERROR(SEARCH("*FISCAL*",AN16,1)*(1-(AN17/AN9)),1)*(AVERAGEIF($C$22:$C$69,"*EFICACIA*",AN22:AN69)),"")</f>
        <v/>
      </c>
      <c r="AO72" s="175" t="str">
        <f>IFERROR(INDEX(TablaMaxCalifPos[],MATCH(AO16,HALLAZGOS,0),MATCH($B$8,TablaMaxCalifPos[#Headers],0))*IFERROR(SEARCH("*FISCAL*",AO16,1)*(1-(AO17/AO9)),1)*(AVERAGEIF($C$22:$C$69,"*EFICACIA*",AO22:AO69)),"")</f>
        <v/>
      </c>
      <c r="AP72" s="175" t="str">
        <f>IFERROR(INDEX(TablaMaxCalifPos[],MATCH(AP16,HALLAZGOS,0),MATCH($B$8,TablaMaxCalifPos[#Headers],0))*IFERROR(SEARCH("*FISCAL*",AP16,1)*(1-(AP17/AP9)),1)*(AVERAGEIF($C$22:$C$69,"*EFICACIA*",AP22:AP69)),"")</f>
        <v/>
      </c>
      <c r="AQ72" s="175" t="str">
        <f>IFERROR(INDEX(TablaMaxCalifPos[],MATCH(AQ16,HALLAZGOS,0),MATCH($B$8,TablaMaxCalifPos[#Headers],0))*IFERROR(SEARCH("*FISCAL*",AQ16,1)*(1-(AQ17/AQ9)),1)*(AVERAGEIF($C$22:$C$69,"*EFICACIA*",AQ22:AQ69)),"")</f>
        <v/>
      </c>
      <c r="AR72" s="175" t="str">
        <f>IFERROR(INDEX(TablaMaxCalifPos[],MATCH(AR16,HALLAZGOS,0),MATCH($B$8,TablaMaxCalifPos[#Headers],0))*IFERROR(SEARCH("*FISCAL*",AR16,1)*(1-(AR17/AR9)),1)*(AVERAGEIF($C$22:$C$69,"*EFICACIA*",AR22:AR69)),"")</f>
        <v/>
      </c>
      <c r="AS72" s="175" t="str">
        <f>IFERROR(INDEX(TablaMaxCalifPos[],MATCH(AS16,HALLAZGOS,0),MATCH($B$8,TablaMaxCalifPos[#Headers],0))*IFERROR(SEARCH("*FISCAL*",AS16,1)*(1-(AS17/AS9)),1)*(AVERAGEIF($C$22:$C$69,"*EFICACIA*",AS22:AS69)),"")</f>
        <v/>
      </c>
      <c r="AT72" s="175" t="str">
        <f>IFERROR(INDEX(TablaMaxCalifPos[],MATCH(AT16,HALLAZGOS,0),MATCH($B$8,TablaMaxCalifPos[#Headers],0))*IFERROR(SEARCH("*FISCAL*",AT16,1)*(1-(AT17/AT9)),1)*(AVERAGEIF($C$22:$C$69,"*EFICACIA*",AT22:AT69)),"")</f>
        <v/>
      </c>
      <c r="AU72" s="175" t="str">
        <f>IFERROR(INDEX(TablaMaxCalifPos[],MATCH(AU16,HALLAZGOS,0),MATCH($B$8,TablaMaxCalifPos[#Headers],0))*IFERROR(SEARCH("*FISCAL*",AU16,1)*(1-(AU17/AU9)),1)*(AVERAGEIF($C$22:$C$69,"*EFICACIA*",AU22:AU69)),"")</f>
        <v/>
      </c>
      <c r="AV72" s="175" t="str">
        <f>IFERROR(INDEX(TablaMaxCalifPos[],MATCH(AV16,HALLAZGOS,0),MATCH($B$8,TablaMaxCalifPos[#Headers],0))*IFERROR(SEARCH("*FISCAL*",AV16,1)*(1-(AV17/AV9)),1)*(AVERAGEIF($C$22:$C$69,"*EFICACIA*",AV22:AV69)),"")</f>
        <v/>
      </c>
      <c r="AW72" s="175" t="str">
        <f>IFERROR(INDEX(TablaMaxCalifPos[],MATCH(AW16,HALLAZGOS,0),MATCH($B$8,TablaMaxCalifPos[#Headers],0))*IFERROR(SEARCH("*FISCAL*",AW16,1)*(1-(AW17/AW9)),1)*(AVERAGEIF($C$22:$C$69,"*EFICACIA*",AW22:AW69)),"")</f>
        <v/>
      </c>
      <c r="AX72" s="175" t="str">
        <f>IFERROR(INDEX(TablaMaxCalifPos[],MATCH(AX16,HALLAZGOS,0),MATCH($B$8,TablaMaxCalifPos[#Headers],0))*IFERROR(SEARCH("*FISCAL*",AX16,1)*(1-(AX17/AX9)),1)*(AVERAGEIF($C$22:$C$69,"*EFICACIA*",AX22:AX69)),"")</f>
        <v/>
      </c>
      <c r="AY72" s="175" t="str">
        <f>IFERROR(INDEX(TablaMaxCalifPos[],MATCH(AY16,HALLAZGOS,0),MATCH($B$8,TablaMaxCalifPos[#Headers],0))*IFERROR(SEARCH("*FISCAL*",AY16,1)*(1-(AY17/AY9)),1)*(AVERAGEIF($C$22:$C$69,"*EFICACIA*",AY22:AY69)),"")</f>
        <v/>
      </c>
      <c r="AZ72" s="175" t="str">
        <f>IFERROR(INDEX(TablaMaxCalifPos[],MATCH(AZ16,HALLAZGOS,0),MATCH($B$8,TablaMaxCalifPos[#Headers],0))*IFERROR(SEARCH("*FISCAL*",AZ16,1)*(1-(AZ17/AZ9)),1)*(AVERAGEIF($C$22:$C$69,"*EFICACIA*",AZ22:AZ69)),"")</f>
        <v/>
      </c>
      <c r="BA72" s="175" t="str">
        <f>IFERROR(INDEX(TablaMaxCalifPos[],MATCH(BA16,HALLAZGOS,0),MATCH($B$8,TablaMaxCalifPos[#Headers],0))*IFERROR(SEARCH("*FISCAL*",BA16,1)*(1-(BA17/BA9)),1)*(AVERAGEIF($C$22:$C$69,"*EFICACIA*",BA22:BA69)),"")</f>
        <v/>
      </c>
      <c r="BB72" s="175" t="str">
        <f>IFERROR(INDEX(TablaMaxCalifPos[],MATCH(BB16,HALLAZGOS,0),MATCH($B$8,TablaMaxCalifPos[#Headers],0))*IFERROR(SEARCH("*FISCAL*",BB16,1)*(1-(BB17/BB9)),1)*(AVERAGEIF($C$22:$C$69,"*EFICACIA*",BB22:BB69)),"")</f>
        <v/>
      </c>
      <c r="BC72" s="175" t="str">
        <f>IFERROR(INDEX(TablaMaxCalifPos[],MATCH(BC16,HALLAZGOS,0),MATCH($B$8,TablaMaxCalifPos[#Headers],0))*IFERROR(SEARCH("*FISCAL*",BC16,1)*(1-(BC17/BC9)),1)*(AVERAGEIF($C$22:$C$69,"*EFICACIA*",BC22:BC69)),"")</f>
        <v/>
      </c>
      <c r="BD72" s="175" t="str">
        <f>IFERROR(INDEX(TablaMaxCalifPos[],MATCH(BD16,HALLAZGOS,0),MATCH($B$8,TablaMaxCalifPos[#Headers],0))*IFERROR(SEARCH("*FISCAL*",BD16,1)*(1-(BD17/BD9)),1)*(AVERAGEIF($C$22:$C$69,"*EFICACIA*",BD22:BD69)),"")</f>
        <v/>
      </c>
      <c r="BE72" s="175" t="str">
        <f>IFERROR(INDEX(TablaMaxCalifPos[],MATCH(BE16,HALLAZGOS,0),MATCH($B$8,TablaMaxCalifPos[#Headers],0))*IFERROR(SEARCH("*FISCAL*",BE16,1)*(1-(BE17/BE9)),1)*(AVERAGEIF($C$22:$C$69,"*EFICACIA*",BE22:BE69)),"")</f>
        <v/>
      </c>
      <c r="BF72" s="175" t="str">
        <f>IFERROR(INDEX(TablaMaxCalifPos[],MATCH(BF16,HALLAZGOS,0),MATCH($B$8,TablaMaxCalifPos[#Headers],0))*IFERROR(SEARCH("*FISCAL*",BF16,1)*(1-(BF17/BF9)),1)*(AVERAGEIF($C$22:$C$69,"*EFICACIA*",BF22:BF69)),"")</f>
        <v/>
      </c>
      <c r="BG72" s="175" t="str">
        <f>IFERROR(INDEX(TablaMaxCalifPos[],MATCH(BG16,HALLAZGOS,0),MATCH($B$8,TablaMaxCalifPos[#Headers],0))*IFERROR(SEARCH("*FISCAL*",BG16,1)*(1-(BG17/BG9)),1)*(AVERAGEIF($C$22:$C$69,"*EFICACIA*",BG22:BG69)),"")</f>
        <v/>
      </c>
      <c r="BH72" s="175" t="str">
        <f>IFERROR(INDEX(TablaMaxCalifPos[],MATCH(BH16,HALLAZGOS,0),MATCH($B$8,TablaMaxCalifPos[#Headers],0))*IFERROR(SEARCH("*FISCAL*",BH16,1)*(1-(BH17/BH9)),1)*(AVERAGEIF($C$22:$C$69,"*EFICACIA*",BH22:BH69)),"")</f>
        <v/>
      </c>
      <c r="BI72" s="175" t="str">
        <f>IFERROR(INDEX(TablaMaxCalifPos[],MATCH(BI16,HALLAZGOS,0),MATCH($B$8,TablaMaxCalifPos[#Headers],0))*IFERROR(SEARCH("*FISCAL*",BI16,1)*(1-(BI17/BI9)),1)*(AVERAGEIF($C$22:$C$69,"*EFICACIA*",BI22:BI69)),"")</f>
        <v/>
      </c>
      <c r="BJ72" s="175" t="str">
        <f>IFERROR(INDEX(TablaMaxCalifPos[],MATCH(BJ16,HALLAZGOS,0),MATCH($B$8,TablaMaxCalifPos[#Headers],0))*IFERROR(SEARCH("*FISCAL*",BJ16,1)*(1-(BJ17/BJ9)),1)*(AVERAGEIF($C$22:$C$69,"*EFICACIA*",BJ22:BJ69)),"")</f>
        <v/>
      </c>
      <c r="BK72" s="175" t="str">
        <f>IFERROR(INDEX(TablaMaxCalifPos[],MATCH(BK16,HALLAZGOS,0),MATCH($B$8,TablaMaxCalifPos[#Headers],0))*IFERROR(SEARCH("*FISCAL*",BK16,1)*(1-(BK17/BK9)),1)*(AVERAGEIF($C$22:$C$69,"*EFICACIA*",BK22:BK69)),"")</f>
        <v/>
      </c>
      <c r="BL72" s="175" t="str">
        <f>IFERROR(INDEX(TablaMaxCalifPos[],MATCH(BL16,HALLAZGOS,0),MATCH($B$8,TablaMaxCalifPos[#Headers],0))*IFERROR(SEARCH("*FISCAL*",BL16,1)*(1-(BL17/BL9)),1)*(AVERAGEIF($C$22:$C$69,"*EFICACIA*",BL22:BL69)),"")</f>
        <v/>
      </c>
      <c r="BM72" s="175" t="str">
        <f>IFERROR(INDEX(TablaMaxCalifPos[],MATCH(BM16,HALLAZGOS,0),MATCH($B$8,TablaMaxCalifPos[#Headers],0))*IFERROR(SEARCH("*FISCAL*",BM16,1)*(1-(BM17/BM9)),1)*(AVERAGEIF($C$22:$C$69,"*EFICACIA*",BM22:BM69)),"")</f>
        <v/>
      </c>
      <c r="BN72" s="175" t="str">
        <f>IFERROR(INDEX(TablaMaxCalifPos[],MATCH(BN16,HALLAZGOS,0),MATCH($B$8,TablaMaxCalifPos[#Headers],0))*IFERROR(SEARCH("*FISCAL*",BN16,1)*(1-(BN17/BN9)),1)*(AVERAGEIF($C$22:$C$69,"*EFICACIA*",BN22:BN69)),"")</f>
        <v/>
      </c>
      <c r="BO72" s="175" t="str">
        <f>IFERROR(INDEX(TablaMaxCalifPos[],MATCH(BO16,HALLAZGOS,0),MATCH($B$8,TablaMaxCalifPos[#Headers],0))*IFERROR(SEARCH("*FISCAL*",BO16,1)*(1-(BO17/BO9)),1)*(AVERAGEIF($C$22:$C$69,"*EFICACIA*",BO22:BO69)),"")</f>
        <v/>
      </c>
      <c r="BP72" s="175" t="str">
        <f>IFERROR(INDEX(TablaMaxCalifPos[],MATCH(BP16,HALLAZGOS,0),MATCH($B$8,TablaMaxCalifPos[#Headers],0))*IFERROR(SEARCH("*FISCAL*",BP16,1)*(1-(BP17/BP9)),1)*(AVERAGEIF($C$22:$C$69,"*EFICACIA*",BP22:BP69)),"")</f>
        <v/>
      </c>
      <c r="BQ72" s="175" t="str">
        <f>IFERROR(INDEX(TablaMaxCalifPos[],MATCH(BQ16,HALLAZGOS,0),MATCH($B$8,TablaMaxCalifPos[#Headers],0))*IFERROR(SEARCH("*FISCAL*",BQ16,1)*(1-(BQ17/BQ9)),1)*(AVERAGEIF($C$22:$C$69,"*EFICACIA*",BQ22:BQ69)),"")</f>
        <v/>
      </c>
      <c r="BR72" s="175" t="str">
        <f>IFERROR(INDEX(TablaMaxCalifPos[],MATCH(BR16,HALLAZGOS,0),MATCH($B$8,TablaMaxCalifPos[#Headers],0))*IFERROR(SEARCH("*FISCAL*",BR16,1)*(1-(BR17/BR9)),1)*(AVERAGEIF($C$22:$C$69,"*EFICACIA*",BR22:BR69)),"")</f>
        <v/>
      </c>
      <c r="BS72" s="175" t="str">
        <f>IFERROR(INDEX(TablaMaxCalifPos[],MATCH(BS16,HALLAZGOS,0),MATCH($B$8,TablaMaxCalifPos[#Headers],0))*IFERROR(SEARCH("*FISCAL*",BS16,1)*(1-(BS17/BS9)),1)*(AVERAGEIF($C$22:$C$69,"*EFICACIA*",BS22:BS69)),"")</f>
        <v/>
      </c>
      <c r="BT72" s="175" t="str">
        <f>IFERROR(INDEX(TablaMaxCalifPos[],MATCH(BT16,HALLAZGOS,0),MATCH($B$8,TablaMaxCalifPos[#Headers],0))*IFERROR(SEARCH("*FISCAL*",BT16,1)*(1-(BT17/BT9)),1)*(AVERAGEIF($C$22:$C$69,"*EFICACIA*",BT22:BT69)),"")</f>
        <v/>
      </c>
      <c r="BU72" s="175" t="str">
        <f>IFERROR(INDEX(TablaMaxCalifPos[],MATCH(BU16,HALLAZGOS,0),MATCH($B$8,TablaMaxCalifPos[#Headers],0))*IFERROR(SEARCH("*FISCAL*",BU16,1)*(1-(BU17/BU9)),1)*(AVERAGEIF($C$22:$C$69,"*EFICACIA*",BU22:BU69)),"")</f>
        <v/>
      </c>
      <c r="BV72" s="175" t="str">
        <f>IFERROR(INDEX(TablaMaxCalifPos[],MATCH(BV16,HALLAZGOS,0),MATCH($B$8,TablaMaxCalifPos[#Headers],0))*IFERROR(SEARCH("*FISCAL*",BV16,1)*(1-(BV17/BV9)),1)*(AVERAGEIF($C$22:$C$69,"*EFICACIA*",BV22:BV69)),"")</f>
        <v/>
      </c>
      <c r="BW72" s="175" t="str">
        <f>IFERROR(INDEX(TablaMaxCalifPos[],MATCH(BW16,HALLAZGOS,0),MATCH($B$8,TablaMaxCalifPos[#Headers],0))*IFERROR(SEARCH("*FISCAL*",BW16,1)*(1-(BW17/BW9)),1)*(AVERAGEIF($C$22:$C$69,"*EFICACIA*",BW22:BW69)),"")</f>
        <v/>
      </c>
      <c r="BX72" s="175" t="str">
        <f>IFERROR(INDEX(TablaMaxCalifPos[],MATCH(BX16,HALLAZGOS,0),MATCH($B$8,TablaMaxCalifPos[#Headers],0))*IFERROR(SEARCH("*FISCAL*",BX16,1)*(1-(BX17/BX9)),1)*(AVERAGEIF($C$22:$C$69,"*EFICACIA*",BX22:BX69)),"")</f>
        <v/>
      </c>
      <c r="BY72" s="175" t="str">
        <f>IFERROR(INDEX(TablaMaxCalifPos[],MATCH(BY16,HALLAZGOS,0),MATCH($B$8,TablaMaxCalifPos[#Headers],0))*IFERROR(SEARCH("*FISCAL*",BY16,1)*(1-(BY17/BY9)),1)*(AVERAGEIF($C$22:$C$69,"*EFICACIA*",BY22:BY69)),"")</f>
        <v/>
      </c>
      <c r="BZ72" s="175" t="str">
        <f>IFERROR(INDEX(TablaMaxCalifPos[],MATCH(BZ16,HALLAZGOS,0),MATCH($B$8,TablaMaxCalifPos[#Headers],0))*IFERROR(SEARCH("*FISCAL*",BZ16,1)*(1-(BZ17/BZ9)),1)*(AVERAGEIF($C$22:$C$69,"*EFICACIA*",BZ22:BZ69)),"")</f>
        <v/>
      </c>
      <c r="CA72" s="175" t="str">
        <f>IFERROR(INDEX(TablaMaxCalifPos[],MATCH(CA16,HALLAZGOS,0),MATCH($B$8,TablaMaxCalifPos[#Headers],0))*IFERROR(SEARCH("*FISCAL*",CA16,1)*(1-(CA17/CA9)),1)*(AVERAGEIF($C$22:$C$69,"*EFICACIA*",CA22:CA69)),"")</f>
        <v/>
      </c>
      <c r="CB72" s="175" t="str">
        <f>IFERROR(INDEX(TablaMaxCalifPos[],MATCH(CB16,HALLAZGOS,0),MATCH($B$8,TablaMaxCalifPos[#Headers],0))*IFERROR(SEARCH("*FISCAL*",CB16,1)*(1-(CB17/CB9)),1)*(AVERAGEIF($C$22:$C$69,"*EFICACIA*",CB22:CB69)),"")</f>
        <v/>
      </c>
      <c r="CC72" s="175" t="str">
        <f>IFERROR(INDEX(TablaMaxCalifPos[],MATCH(CC16,HALLAZGOS,0),MATCH($B$8,TablaMaxCalifPos[#Headers],0))*IFERROR(SEARCH("*FISCAL*",CC16,1)*(1-(CC17/CC9)),1)*(AVERAGEIF($C$22:$C$69,"*EFICACIA*",CC22:CC69)),"")</f>
        <v/>
      </c>
      <c r="CD72" s="175" t="str">
        <f>IFERROR(INDEX(TablaMaxCalifPos[],MATCH(CD16,HALLAZGOS,0),MATCH($B$8,TablaMaxCalifPos[#Headers],0))*IFERROR(SEARCH("*FISCAL*",CD16,1)*(1-(CD17/CD9)),1)*(AVERAGEIF($C$22:$C$69,"*EFICACIA*",CD22:CD69)),"")</f>
        <v/>
      </c>
      <c r="CE72" s="175" t="str">
        <f>IFERROR(INDEX(TablaMaxCalifPos[],MATCH(CE16,HALLAZGOS,0),MATCH($B$8,TablaMaxCalifPos[#Headers],0))*IFERROR(SEARCH("*FISCAL*",CE16,1)*(1-(CE17/CE9)),1)*(AVERAGEIF($C$22:$C$69,"*EFICACIA*",CE22:CE69)),"")</f>
        <v/>
      </c>
      <c r="CF72" s="175" t="str">
        <f>IFERROR(INDEX(TablaMaxCalifPos[],MATCH(CF16,HALLAZGOS,0),MATCH($B$8,TablaMaxCalifPos[#Headers],0))*IFERROR(SEARCH("*FISCAL*",CF16,1)*(1-(CF17/CF9)),1)*(AVERAGEIF($C$22:$C$69,"*EFICACIA*",CF22:CF69)),"")</f>
        <v/>
      </c>
      <c r="CG72" s="175" t="str">
        <f>IFERROR(INDEX(TablaMaxCalifPos[],MATCH(CG16,HALLAZGOS,0),MATCH($B$8,TablaMaxCalifPos[#Headers],0))*IFERROR(SEARCH("*FISCAL*",CG16,1)*(1-(CG17/CG9)),1)*(AVERAGEIF($C$22:$C$69,"*EFICACIA*",CG22:CG69)),"")</f>
        <v/>
      </c>
      <c r="CH72" s="175" t="str">
        <f>IFERROR(INDEX(TablaMaxCalifPos[],MATCH(CH16,HALLAZGOS,0),MATCH($B$8,TablaMaxCalifPos[#Headers],0))*IFERROR(SEARCH("*FISCAL*",CH16,1)*(1-(CH17/CH9)),1)*(AVERAGEIF($C$22:$C$69,"*EFICACIA*",CH22:CH69)),"")</f>
        <v/>
      </c>
      <c r="CI72" s="175" t="str">
        <f>IFERROR(INDEX(TablaMaxCalifPos[],MATCH(CI16,HALLAZGOS,0),MATCH($B$8,TablaMaxCalifPos[#Headers],0))*IFERROR(SEARCH("*FISCAL*",CI16,1)*(1-(CI17/CI9)),1)*(AVERAGEIF($C$22:$C$69,"*EFICACIA*",CI22:CI69)),"")</f>
        <v/>
      </c>
      <c r="CJ72" s="175" t="str">
        <f>IFERROR(INDEX(TablaMaxCalifPos[],MATCH(CJ16,HALLAZGOS,0),MATCH($B$8,TablaMaxCalifPos[#Headers],0))*IFERROR(SEARCH("*FISCAL*",CJ16,1)*(1-(CJ17/CJ9)),1)*(AVERAGEIF($C$22:$C$69,"*EFICACIA*",CJ22:CJ69)),"")</f>
        <v/>
      </c>
      <c r="CK72" s="175" t="str">
        <f>IFERROR(INDEX(TablaMaxCalifPos[],MATCH(CK16,HALLAZGOS,0),MATCH($B$8,TablaMaxCalifPos[#Headers],0))*IFERROR(SEARCH("*FISCAL*",CK16,1)*(1-(CK17/CK9)),1)*(AVERAGEIF($C$22:$C$69,"*EFICACIA*",CK22:CK69)),"")</f>
        <v/>
      </c>
      <c r="CL72" s="175" t="str">
        <f>IFERROR(INDEX(TablaMaxCalifPos[],MATCH(CL16,HALLAZGOS,0),MATCH($B$8,TablaMaxCalifPos[#Headers],0))*IFERROR(SEARCH("*FISCAL*",CL16,1)*(1-(CL17/CL9)),1)*(AVERAGEIF($C$22:$C$69,"*EFICACIA*",CL22:CL69)),"")</f>
        <v/>
      </c>
      <c r="CM72" s="175" t="str">
        <f>IFERROR(INDEX(TablaMaxCalifPos[],MATCH(CM16,HALLAZGOS,0),MATCH($B$8,TablaMaxCalifPos[#Headers],0))*IFERROR(SEARCH("*FISCAL*",CM16,1)*(1-(CM17/CM9)),1)*(AVERAGEIF($C$22:$C$69,"*EFICACIA*",CM22:CM69)),"")</f>
        <v/>
      </c>
      <c r="CN72" s="175" t="str">
        <f>IFERROR(INDEX(TablaMaxCalifPos[],MATCH(CN16,HALLAZGOS,0),MATCH($B$8,TablaMaxCalifPos[#Headers],0))*IFERROR(SEARCH("*FISCAL*",CN16,1)*(1-(CN17/CN9)),1)*(AVERAGEIF($C$22:$C$69,"*EFICACIA*",CN22:CN69)),"")</f>
        <v/>
      </c>
      <c r="CO72" s="175" t="str">
        <f>IFERROR(INDEX(TablaMaxCalifPos[],MATCH(CO16,HALLAZGOS,0),MATCH($B$8,TablaMaxCalifPos[#Headers],0))*IFERROR(SEARCH("*FISCAL*",CO16,1)*(1-(CO17/CO9)),1)*(AVERAGEIF($C$22:$C$69,"*EFICACIA*",CO22:CO69)),"")</f>
        <v/>
      </c>
      <c r="CP72" s="175" t="str">
        <f>IFERROR(INDEX(TablaMaxCalifPos[],MATCH(CP16,HALLAZGOS,0),MATCH($B$8,TablaMaxCalifPos[#Headers],0))*IFERROR(SEARCH("*FISCAL*",CP16,1)*(1-(CP17/CP9)),1)*(AVERAGEIF($C$22:$C$69,"*EFICACIA*",CP22:CP69)),"")</f>
        <v/>
      </c>
      <c r="CQ72" s="175" t="str">
        <f>IFERROR(INDEX(TablaMaxCalifPos[],MATCH(CQ16,HALLAZGOS,0),MATCH($B$8,TablaMaxCalifPos[#Headers],0))*IFERROR(SEARCH("*FISCAL*",CQ16,1)*(1-(CQ17/CQ9)),1)*(AVERAGEIF($C$22:$C$69,"*EFICACIA*",CQ22:CQ69)),"")</f>
        <v/>
      </c>
      <c r="CR72" s="175" t="str">
        <f>IFERROR(INDEX(TablaMaxCalifPos[],MATCH(CR16,HALLAZGOS,0),MATCH($B$8,TablaMaxCalifPos[#Headers],0))*IFERROR(SEARCH("*FISCAL*",CR16,1)*(1-(CR17/CR9)),1)*(AVERAGEIF($C$22:$C$69,"*EFICACIA*",CR22:CR69)),"")</f>
        <v/>
      </c>
      <c r="CS72" s="175" t="str">
        <f>IFERROR(INDEX(TablaMaxCalifPos[],MATCH(CS16,HALLAZGOS,0),MATCH($B$8,TablaMaxCalifPos[#Headers],0))*IFERROR(SEARCH("*FISCAL*",CS16,1)*(1-(CS17/CS9)),1)*(AVERAGEIF($C$22:$C$69,"*EFICACIA*",CS22:CS69)),"")</f>
        <v/>
      </c>
      <c r="CT72" s="175" t="str">
        <f>IFERROR(INDEX(TablaMaxCalifPos[],MATCH(CT16,HALLAZGOS,0),MATCH($B$8,TablaMaxCalifPos[#Headers],0))*IFERROR(SEARCH("*FISCAL*",CT16,1)*(1-(CT17/CT9)),1)*(AVERAGEIF($C$22:$C$69,"*EFICACIA*",CT22:CT69)),"")</f>
        <v/>
      </c>
      <c r="CU72" s="175" t="str">
        <f>IFERROR(INDEX(TablaMaxCalifPos[],MATCH(CU16,HALLAZGOS,0),MATCH($B$8,TablaMaxCalifPos[#Headers],0))*IFERROR(SEARCH("*FISCAL*",CU16,1)*(1-(CU17/CU9)),1)*(AVERAGEIF($C$22:$C$69,"*EFICACIA*",CU22:CU69)),"")</f>
        <v/>
      </c>
      <c r="CV72" s="175" t="str">
        <f>IFERROR(INDEX(TablaMaxCalifPos[],MATCH(CV16,HALLAZGOS,0),MATCH($B$8,TablaMaxCalifPos[#Headers],0))*IFERROR(SEARCH("*FISCAL*",CV16,1)*(1-(CV17/CV9)),1)*(AVERAGEIF($C$22:$C$69,"*EFICACIA*",CV22:CV69)),"")</f>
        <v/>
      </c>
      <c r="CW72" s="175" t="str">
        <f>IFERROR(INDEX(TablaMaxCalifPos[],MATCH(CW16,HALLAZGOS,0),MATCH($B$8,TablaMaxCalifPos[#Headers],0))*IFERROR(SEARCH("*FISCAL*",CW16,1)*(1-(CW17/CW9)),1)*(AVERAGEIF($C$22:$C$69,"*EFICACIA*",CW22:CW69)),"")</f>
        <v/>
      </c>
      <c r="CX72" s="175" t="str">
        <f>IFERROR(INDEX(TablaMaxCalifPos[],MATCH(CX16,HALLAZGOS,0),MATCH($B$8,TablaMaxCalifPos[#Headers],0))*IFERROR(SEARCH("*FISCAL*",CX16,1)*(1-(CX17/CX9)),1)*(AVERAGEIF($C$22:$C$69,"*EFICACIA*",CX22:CX69)),"")</f>
        <v/>
      </c>
      <c r="CY72" s="175" t="str">
        <f>IFERROR(INDEX(TablaMaxCalifPos[],MATCH(CY16,HALLAZGOS,0),MATCH($B$8,TablaMaxCalifPos[#Headers],0))*IFERROR(SEARCH("*FISCAL*",CY16,1)*(1-(CY17/CY9)),1)*(AVERAGEIF($C$22:$C$69,"*EFICACIA*",CY22:CY69)),"")</f>
        <v/>
      </c>
    </row>
    <row r="73" spans="1:105" s="176" customFormat="1" ht="18" x14ac:dyDescent="0.25">
      <c r="C73" s="2537"/>
      <c r="D73" s="174" t="s">
        <v>272</v>
      </c>
      <c r="E73" s="175">
        <f>IFERROR(INDEX(TablaMaxCalifPos[],MATCH(E16,HALLAZGOS,0),MATCH($B$8,TablaMaxCalifPos[#Headers],0))*IFERROR(SEARCH("*FISCAL*",E16,1)*(1-(E17/E9)),1)*(AVERAGEIF($C$22:$C$69,"*ECONOMÍA*",E22:E69)),"")</f>
        <v>0.7</v>
      </c>
      <c r="F73" s="175">
        <f>IFERROR(INDEX(TablaMaxCalifPos[],MATCH(F16,HALLAZGOS,0),MATCH($B$8,TablaMaxCalifPos[#Headers],0))*IFERROR(SEARCH("*FISCAL*",F16,1)*(1-(F17/F9)),1)*(AVERAGEIF($C$22:$C$69,"*ECONOMÍA*",F22:F69)),"")</f>
        <v>0.73000000000000009</v>
      </c>
      <c r="G73" s="175">
        <f>IFERROR(INDEX(TablaMaxCalifPos[],MATCH(G16,HALLAZGOS,0),MATCH($B$8,TablaMaxCalifPos[#Headers],0))*IFERROR(SEARCH("*FISCAL*",G16,1)*(1-(G17/G9)),1)*(AVERAGEIF($C$22:$C$69,"*ECONOMÍA*",G22:G69)),"")</f>
        <v>0.2055607476635514</v>
      </c>
      <c r="H73" s="175">
        <f>IFERROR(INDEX(TablaMaxCalifPos[],MATCH(H16,HALLAZGOS,0),MATCH($B$8,TablaMaxCalifPos[#Headers],0))*IFERROR(SEARCH("*FISCAL*",H16,1)*(1-(H17/H9)),1)*(AVERAGEIF($C$22:$C$69,"*ECONOMÍA*",H22:H69)),"")</f>
        <v>0.78299999999999992</v>
      </c>
      <c r="I73" s="175">
        <f>IFERROR(INDEX(TablaMaxCalifPos[],MATCH(I16,HALLAZGOS,0),MATCH($B$8,TablaMaxCalifPos[#Headers],0))*IFERROR(SEARCH("*FISCAL*",I16,1)*(1-(I17/I9)),1)*(AVERAGEIF($C$22:$C$69,"*ECONOMÍA*",I22:I69)),"")</f>
        <v>0.98749999999999993</v>
      </c>
      <c r="J73" s="175">
        <f>IFERROR(INDEX(TablaMaxCalifPos[],MATCH(J16,HALLAZGOS,0),MATCH($B$8,TablaMaxCalifPos[#Headers],0))*IFERROR(SEARCH("*FISCAL*",J16,1)*(1-(J17/J9)),1)*(AVERAGEIF($C$22:$C$69,"*ECONOMÍA*",J22:J69)),"")</f>
        <v>0.77666666666666673</v>
      </c>
      <c r="K73" s="175">
        <f>IFERROR(INDEX(TablaMaxCalifPos[],MATCH(K16,HALLAZGOS,0),MATCH($B$8,TablaMaxCalifPos[#Headers],0))*IFERROR(SEARCH("*FISCAL*",K16,1)*(1-(K17/K9)),1)*(AVERAGEIF($C$22:$C$69,"*ECONOMÍA*",K22:K69)),"")</f>
        <v>0.87375000000000003</v>
      </c>
      <c r="L73" s="175" t="str">
        <f>IFERROR(INDEX(TablaMaxCalifPos[],MATCH(L16,HALLAZGOS,0),MATCH($B$8,TablaMaxCalifPos[#Headers],0))*IFERROR(SEARCH("*FISCAL*",L16,1)*(1-(L17/L9)),1)*(AVERAGEIF($C$22:$C$69,"*ECONOMÍA*",L22:L69)),"")</f>
        <v/>
      </c>
      <c r="M73" s="175" t="str">
        <f>IFERROR(INDEX(TablaMaxCalifPos[],MATCH(M16,HALLAZGOS,0),MATCH($B$8,TablaMaxCalifPos[#Headers],0))*IFERROR(SEARCH("*FISCAL*",M16,1)*(1-(M17/M9)),1)*(AVERAGEIF($C$22:$C$69,"*ECONOMÍA*",M22:M69)),"")</f>
        <v/>
      </c>
      <c r="N73" s="175" t="str">
        <f>IFERROR(INDEX(TablaMaxCalifPos[],MATCH(N16,HALLAZGOS,0),MATCH($B$8,TablaMaxCalifPos[#Headers],0))*IFERROR(SEARCH("*FISCAL*",N16,1)*(1-(N17/N9)),1)*(AVERAGEIF($C$22:$C$69,"*ECONOMÍA*",N22:N69)),"")</f>
        <v/>
      </c>
      <c r="O73" s="175" t="str">
        <f>IFERROR(INDEX(TablaMaxCalifPos[],MATCH(O16,HALLAZGOS,0),MATCH($B$8,TablaMaxCalifPos[#Headers],0))*IFERROR(SEARCH("*FISCAL*",O16,1)*(1-(O17/O9)),1)*(AVERAGEIF($C$22:$C$69,"*ECONOMÍA*",O22:O69)),"")</f>
        <v/>
      </c>
      <c r="P73" s="175" t="str">
        <f>IFERROR(INDEX(TablaMaxCalifPos[],MATCH(P16,HALLAZGOS,0),MATCH($B$8,TablaMaxCalifPos[#Headers],0))*IFERROR(SEARCH("*FISCAL*",P16,1)*(1-(P17/P9)),1)*(AVERAGEIF($C$22:$C$69,"*ECONOMÍA*",P22:P69)),"")</f>
        <v/>
      </c>
      <c r="Q73" s="175" t="str">
        <f>IFERROR(INDEX(TablaMaxCalifPos[],MATCH(Q16,HALLAZGOS,0),MATCH($B$8,TablaMaxCalifPos[#Headers],0))*IFERROR(SEARCH("*FISCAL*",Q16,1)*(1-(Q17/Q9)),1)*(AVERAGEIF($C$22:$C$69,"*ECONOMÍA*",Q22:Q69)),"")</f>
        <v/>
      </c>
      <c r="R73" s="175" t="str">
        <f>IFERROR(INDEX(TablaMaxCalifPos[],MATCH(R16,HALLAZGOS,0),MATCH($B$8,TablaMaxCalifPos[#Headers],0))*IFERROR(SEARCH("*FISCAL*",R16,1)*(1-(R17/R9)),1)*(AVERAGEIF($C$22:$C$69,"*ECONOMÍA*",R22:R69)),"")</f>
        <v/>
      </c>
      <c r="S73" s="175" t="str">
        <f>IFERROR(INDEX(TablaMaxCalifPos[],MATCH(S16,HALLAZGOS,0),MATCH($B$8,TablaMaxCalifPos[#Headers],0))*IFERROR(SEARCH("*FISCAL*",S16,1)*(1-(S17/S9)),1)*(AVERAGEIF($C$22:$C$69,"*ECONOMÍA*",S22:S69)),"")</f>
        <v/>
      </c>
      <c r="T73" s="175" t="str">
        <f>IFERROR(INDEX(TablaMaxCalifPos[],MATCH(T16,HALLAZGOS,0),MATCH($B$8,TablaMaxCalifPos[#Headers],0))*IFERROR(SEARCH("*FISCAL*",T16,1)*(1-(T17/T9)),1)*(AVERAGEIF($C$22:$C$69,"*ECONOMÍA*",T22:T69)),"")</f>
        <v/>
      </c>
      <c r="U73" s="175" t="str">
        <f>IFERROR(INDEX(TablaMaxCalifPos[],MATCH(U16,HALLAZGOS,0),MATCH($B$8,TablaMaxCalifPos[#Headers],0))*IFERROR(SEARCH("*FISCAL*",U16,1)*(1-(U17/U9)),1)*(AVERAGEIF($C$22:$C$69,"*ECONOMÍA*",U22:U69)),"")</f>
        <v/>
      </c>
      <c r="V73" s="175" t="str">
        <f>IFERROR(INDEX(TablaMaxCalifPos[],MATCH(V16,HALLAZGOS,0),MATCH($B$8,TablaMaxCalifPos[#Headers],0))*IFERROR(SEARCH("*FISCAL*",V16,1)*(1-(V17/V9)),1)*(AVERAGEIF($C$22:$C$69,"*ECONOMÍA*",V22:V69)),"")</f>
        <v/>
      </c>
      <c r="W73" s="175" t="str">
        <f>IFERROR(INDEX(TablaMaxCalifPos[],MATCH(W16,HALLAZGOS,0),MATCH($B$8,TablaMaxCalifPos[#Headers],0))*IFERROR(SEARCH("*FISCAL*",W16,1)*(1-(W17/W9)),1)*(AVERAGEIF($C$22:$C$69,"*ECONOMÍA*",W22:W69)),"")</f>
        <v/>
      </c>
      <c r="X73" s="175" t="str">
        <f>IFERROR(INDEX(TablaMaxCalifPos[],MATCH(X16,HALLAZGOS,0),MATCH($B$8,TablaMaxCalifPos[#Headers],0))*IFERROR(SEARCH("*FISCAL*",X16,1)*(1-(X17/X9)),1)*(AVERAGEIF($C$22:$C$69,"*ECONOMÍA*",X22:X69)),"")</f>
        <v/>
      </c>
      <c r="Y73" s="175" t="str">
        <f>IFERROR(INDEX(TablaMaxCalifPos[],MATCH(Y16,HALLAZGOS,0),MATCH($B$8,TablaMaxCalifPos[#Headers],0))*IFERROR(SEARCH("*FISCAL*",Y16,1)*(1-(Y17/Y9)),1)*(AVERAGEIF($C$22:$C$69,"*ECONOMÍA*",Y22:Y69)),"")</f>
        <v/>
      </c>
      <c r="Z73" s="175" t="str">
        <f>IFERROR(INDEX(TablaMaxCalifPos[],MATCH(Z16,HALLAZGOS,0),MATCH($B$8,TablaMaxCalifPos[#Headers],0))*IFERROR(SEARCH("*FISCAL*",Z16,1)*(1-(Z17/Z9)),1)*(AVERAGEIF($C$22:$C$69,"*ECONOMÍA*",Z22:Z69)),"")</f>
        <v/>
      </c>
      <c r="AA73" s="175" t="str">
        <f>IFERROR(INDEX(TablaMaxCalifPos[],MATCH(AA16,HALLAZGOS,0),MATCH($B$8,TablaMaxCalifPos[#Headers],0))*IFERROR(SEARCH("*FISCAL*",AA16,1)*(1-(AA17/AA9)),1)*(AVERAGEIF($C$22:$C$69,"*ECONOMÍA*",AA22:AA69)),"")</f>
        <v/>
      </c>
      <c r="AB73" s="175" t="str">
        <f>IFERROR(INDEX(TablaMaxCalifPos[],MATCH(AB16,HALLAZGOS,0),MATCH($B$8,TablaMaxCalifPos[#Headers],0))*IFERROR(SEARCH("*FISCAL*",AB16,1)*(1-(AB17/AB9)),1)*(AVERAGEIF($C$22:$C$69,"*ECONOMÍA*",AB22:AB69)),"")</f>
        <v/>
      </c>
      <c r="AC73" s="175" t="str">
        <f>IFERROR(INDEX(TablaMaxCalifPos[],MATCH(AC16,HALLAZGOS,0),MATCH($B$8,TablaMaxCalifPos[#Headers],0))*IFERROR(SEARCH("*FISCAL*",AC16,1)*(1-(AC17/AC9)),1)*(AVERAGEIF($C$22:$C$69,"*ECONOMÍA*",AC22:AC69)),"")</f>
        <v/>
      </c>
      <c r="AD73" s="175" t="str">
        <f>IFERROR(INDEX(TablaMaxCalifPos[],MATCH(AD16,HALLAZGOS,0),MATCH($B$8,TablaMaxCalifPos[#Headers],0))*IFERROR(SEARCH("*FISCAL*",AD16,1)*(1-(AD17/AD9)),1)*(AVERAGEIF($C$22:$C$69,"*ECONOMÍA*",AD22:AD69)),"")</f>
        <v/>
      </c>
      <c r="AE73" s="175" t="str">
        <f>IFERROR(INDEX(TablaMaxCalifPos[],MATCH(AE16,HALLAZGOS,0),MATCH($B$8,TablaMaxCalifPos[#Headers],0))*IFERROR(SEARCH("*FISCAL*",AE16,1)*(1-(AE17/AE9)),1)*(AVERAGEIF($C$22:$C$69,"*ECONOMÍA*",AE22:AE69)),"")</f>
        <v/>
      </c>
      <c r="AF73" s="175" t="str">
        <f>IFERROR(INDEX(TablaMaxCalifPos[],MATCH(AF16,HALLAZGOS,0),MATCH($B$8,TablaMaxCalifPos[#Headers],0))*IFERROR(SEARCH("*FISCAL*",AF16,1)*(1-(AF17/AF9)),1)*(AVERAGEIF($C$22:$C$69,"*ECONOMÍA*",AF22:AF69)),"")</f>
        <v/>
      </c>
      <c r="AG73" s="175" t="str">
        <f>IFERROR(INDEX(TablaMaxCalifPos[],MATCH(AG16,HALLAZGOS,0),MATCH($B$8,TablaMaxCalifPos[#Headers],0))*IFERROR(SEARCH("*FISCAL*",AG16,1)*(1-(AG17/AG9)),1)*(AVERAGEIF($C$22:$C$69,"*ECONOMÍA*",AG22:AG69)),"")</f>
        <v/>
      </c>
      <c r="AH73" s="175" t="str">
        <f>IFERROR(INDEX(TablaMaxCalifPos[],MATCH(AH16,HALLAZGOS,0),MATCH($B$8,TablaMaxCalifPos[#Headers],0))*IFERROR(SEARCH("*FISCAL*",AH16,1)*(1-(AH17/AH9)),1)*(AVERAGEIF($C$22:$C$69,"*ECONOMÍA*",AH22:AH69)),"")</f>
        <v/>
      </c>
      <c r="AI73" s="175" t="str">
        <f>IFERROR(INDEX(TablaMaxCalifPos[],MATCH(AI16,HALLAZGOS,0),MATCH($B$8,TablaMaxCalifPos[#Headers],0))*IFERROR(SEARCH("*FISCAL*",AI16,1)*(1-(AI17/AI9)),1)*(AVERAGEIF($C$22:$C$69,"*ECONOMÍA*",AI22:AI69)),"")</f>
        <v/>
      </c>
      <c r="AJ73" s="175" t="str">
        <f>IFERROR(INDEX(TablaMaxCalifPos[],MATCH(AJ16,HALLAZGOS,0),MATCH($B$8,TablaMaxCalifPos[#Headers],0))*IFERROR(SEARCH("*FISCAL*",AJ16,1)*(1-(AJ17/AJ9)),1)*(AVERAGEIF($C$22:$C$69,"*ECONOMÍA*",AJ22:AJ69)),"")</f>
        <v/>
      </c>
      <c r="AK73" s="175" t="str">
        <f>IFERROR(INDEX(TablaMaxCalifPos[],MATCH(AK16,HALLAZGOS,0),MATCH($B$8,TablaMaxCalifPos[#Headers],0))*IFERROR(SEARCH("*FISCAL*",AK16,1)*(1-(AK17/AK9)),1)*(AVERAGEIF($C$22:$C$69,"*ECONOMÍA*",AK22:AK69)),"")</f>
        <v/>
      </c>
      <c r="AL73" s="175" t="str">
        <f>IFERROR(INDEX(TablaMaxCalifPos[],MATCH(AL16,HALLAZGOS,0),MATCH($B$8,TablaMaxCalifPos[#Headers],0))*IFERROR(SEARCH("*FISCAL*",AL16,1)*(1-(AL17/AL9)),1)*(AVERAGEIF($C$22:$C$69,"*ECONOMÍA*",AL22:AL69)),"")</f>
        <v/>
      </c>
      <c r="AM73" s="175" t="str">
        <f>IFERROR(INDEX(TablaMaxCalifPos[],MATCH(AM16,HALLAZGOS,0),MATCH($B$8,TablaMaxCalifPos[#Headers],0))*IFERROR(SEARCH("*FISCAL*",AM16,1)*(1-(AM17/AM9)),1)*(AVERAGEIF($C$22:$C$69,"*ECONOMÍA*",AM22:AM69)),"")</f>
        <v/>
      </c>
      <c r="AN73" s="175" t="str">
        <f>IFERROR(INDEX(TablaMaxCalifPos[],MATCH(AN16,HALLAZGOS,0),MATCH($B$8,TablaMaxCalifPos[#Headers],0))*IFERROR(SEARCH("*FISCAL*",AN16,1)*(1-(AN17/AN9)),1)*(AVERAGEIF($C$22:$C$69,"*ECONOMÍA*",AN22:AN69)),"")</f>
        <v/>
      </c>
      <c r="AO73" s="175" t="str">
        <f>IFERROR(INDEX(TablaMaxCalifPos[],MATCH(AO16,HALLAZGOS,0),MATCH($B$8,TablaMaxCalifPos[#Headers],0))*IFERROR(SEARCH("*FISCAL*",AO16,1)*(1-(AO17/AO9)),1)*(AVERAGEIF($C$22:$C$69,"*ECONOMÍA*",AO22:AO69)),"")</f>
        <v/>
      </c>
      <c r="AP73" s="175" t="str">
        <f>IFERROR(INDEX(TablaMaxCalifPos[],MATCH(AP16,HALLAZGOS,0),MATCH($B$8,TablaMaxCalifPos[#Headers],0))*IFERROR(SEARCH("*FISCAL*",AP16,1)*(1-(AP17/AP9)),1)*(AVERAGEIF($C$22:$C$69,"*ECONOMÍA*",AP22:AP69)),"")</f>
        <v/>
      </c>
      <c r="AQ73" s="175" t="str">
        <f>IFERROR(INDEX(TablaMaxCalifPos[],MATCH(AQ16,HALLAZGOS,0),MATCH($B$8,TablaMaxCalifPos[#Headers],0))*IFERROR(SEARCH("*FISCAL*",AQ16,1)*(1-(AQ17/AQ9)),1)*(AVERAGEIF($C$22:$C$69,"*ECONOMÍA*",AQ22:AQ69)),"")</f>
        <v/>
      </c>
      <c r="AR73" s="175" t="str">
        <f>IFERROR(INDEX(TablaMaxCalifPos[],MATCH(AR16,HALLAZGOS,0),MATCH($B$8,TablaMaxCalifPos[#Headers],0))*IFERROR(SEARCH("*FISCAL*",AR16,1)*(1-(AR17/AR9)),1)*(AVERAGEIF($C$22:$C$69,"*ECONOMÍA*",AR22:AR69)),"")</f>
        <v/>
      </c>
      <c r="AS73" s="175" t="str">
        <f>IFERROR(INDEX(TablaMaxCalifPos[],MATCH(AS16,HALLAZGOS,0),MATCH($B$8,TablaMaxCalifPos[#Headers],0))*IFERROR(SEARCH("*FISCAL*",AS16,1)*(1-(AS17/AS9)),1)*(AVERAGEIF($C$22:$C$69,"*ECONOMÍA*",AS22:AS69)),"")</f>
        <v/>
      </c>
      <c r="AT73" s="175" t="str">
        <f>IFERROR(INDEX(TablaMaxCalifPos[],MATCH(AT16,HALLAZGOS,0),MATCH($B$8,TablaMaxCalifPos[#Headers],0))*IFERROR(SEARCH("*FISCAL*",AT16,1)*(1-(AT17/AT9)),1)*(AVERAGEIF($C$22:$C$69,"*ECONOMÍA*",AT22:AT69)),"")</f>
        <v/>
      </c>
      <c r="AU73" s="175" t="str">
        <f>IFERROR(INDEX(TablaMaxCalifPos[],MATCH(AU16,HALLAZGOS,0),MATCH($B$8,TablaMaxCalifPos[#Headers],0))*IFERROR(SEARCH("*FISCAL*",AU16,1)*(1-(AU17/AU9)),1)*(AVERAGEIF($C$22:$C$69,"*ECONOMÍA*",AU22:AU69)),"")</f>
        <v/>
      </c>
      <c r="AV73" s="175" t="str">
        <f>IFERROR(INDEX(TablaMaxCalifPos[],MATCH(AV16,HALLAZGOS,0),MATCH($B$8,TablaMaxCalifPos[#Headers],0))*IFERROR(SEARCH("*FISCAL*",AV16,1)*(1-(AV17/AV9)),1)*(AVERAGEIF($C$22:$C$69,"*ECONOMÍA*",AV22:AV69)),"")</f>
        <v/>
      </c>
      <c r="AW73" s="175" t="str">
        <f>IFERROR(INDEX(TablaMaxCalifPos[],MATCH(AW16,HALLAZGOS,0),MATCH($B$8,TablaMaxCalifPos[#Headers],0))*IFERROR(SEARCH("*FISCAL*",AW16,1)*(1-(AW17/AW9)),1)*(AVERAGEIF($C$22:$C$69,"*ECONOMÍA*",AW22:AW69)),"")</f>
        <v/>
      </c>
      <c r="AX73" s="175" t="str">
        <f>IFERROR(INDEX(TablaMaxCalifPos[],MATCH(AX16,HALLAZGOS,0),MATCH($B$8,TablaMaxCalifPos[#Headers],0))*IFERROR(SEARCH("*FISCAL*",AX16,1)*(1-(AX17/AX9)),1)*(AVERAGEIF($C$22:$C$69,"*ECONOMÍA*",AX22:AX69)),"")</f>
        <v/>
      </c>
      <c r="AY73" s="175" t="str">
        <f>IFERROR(INDEX(TablaMaxCalifPos[],MATCH(AY16,HALLAZGOS,0),MATCH($B$8,TablaMaxCalifPos[#Headers],0))*IFERROR(SEARCH("*FISCAL*",AY16,1)*(1-(AY17/AY9)),1)*(AVERAGEIF($C$22:$C$69,"*ECONOMÍA*",AY22:AY69)),"")</f>
        <v/>
      </c>
      <c r="AZ73" s="175" t="str">
        <f>IFERROR(INDEX(TablaMaxCalifPos[],MATCH(AZ16,HALLAZGOS,0),MATCH($B$8,TablaMaxCalifPos[#Headers],0))*IFERROR(SEARCH("*FISCAL*",AZ16,1)*(1-(AZ17/AZ9)),1)*(AVERAGEIF($C$22:$C$69,"*ECONOMÍA*",AZ22:AZ69)),"")</f>
        <v/>
      </c>
      <c r="BA73" s="175" t="str">
        <f>IFERROR(INDEX(TablaMaxCalifPos[],MATCH(BA16,HALLAZGOS,0),MATCH($B$8,TablaMaxCalifPos[#Headers],0))*IFERROR(SEARCH("*FISCAL*",BA16,1)*(1-(BA17/BA9)),1)*(AVERAGEIF($C$22:$C$69,"*ECONOMÍA*",BA22:BA69)),"")</f>
        <v/>
      </c>
      <c r="BB73" s="175" t="str">
        <f>IFERROR(INDEX(TablaMaxCalifPos[],MATCH(BB16,HALLAZGOS,0),MATCH($B$8,TablaMaxCalifPos[#Headers],0))*IFERROR(SEARCH("*FISCAL*",BB16,1)*(1-(BB17/BB9)),1)*(AVERAGEIF($C$22:$C$69,"*ECONOMÍA*",BB22:BB69)),"")</f>
        <v/>
      </c>
      <c r="BC73" s="175" t="str">
        <f>IFERROR(INDEX(TablaMaxCalifPos[],MATCH(BC16,HALLAZGOS,0),MATCH($B$8,TablaMaxCalifPos[#Headers],0))*IFERROR(SEARCH("*FISCAL*",BC16,1)*(1-(BC17/BC9)),1)*(AVERAGEIF($C$22:$C$69,"*ECONOMÍA*",BC22:BC69)),"")</f>
        <v/>
      </c>
      <c r="BD73" s="175" t="str">
        <f>IFERROR(INDEX(TablaMaxCalifPos[],MATCH(BD16,HALLAZGOS,0),MATCH($B$8,TablaMaxCalifPos[#Headers],0))*IFERROR(SEARCH("*FISCAL*",BD16,1)*(1-(BD17/BD9)),1)*(AVERAGEIF($C$22:$C$69,"*ECONOMÍA*",BD22:BD69)),"")</f>
        <v/>
      </c>
      <c r="BE73" s="175" t="str">
        <f>IFERROR(INDEX(TablaMaxCalifPos[],MATCH(BE16,HALLAZGOS,0),MATCH($B$8,TablaMaxCalifPos[#Headers],0))*IFERROR(SEARCH("*FISCAL*",BE16,1)*(1-(BE17/BE9)),1)*(AVERAGEIF($C$22:$C$69,"*ECONOMÍA*",BE22:BE69)),"")</f>
        <v/>
      </c>
      <c r="BF73" s="175" t="str">
        <f>IFERROR(INDEX(TablaMaxCalifPos[],MATCH(BF16,HALLAZGOS,0),MATCH($B$8,TablaMaxCalifPos[#Headers],0))*IFERROR(SEARCH("*FISCAL*",BF16,1)*(1-(BF17/BF9)),1)*(AVERAGEIF($C$22:$C$69,"*ECONOMÍA*",BF22:BF69)),"")</f>
        <v/>
      </c>
      <c r="BG73" s="175" t="str">
        <f>IFERROR(INDEX(TablaMaxCalifPos[],MATCH(BG16,HALLAZGOS,0),MATCH($B$8,TablaMaxCalifPos[#Headers],0))*IFERROR(SEARCH("*FISCAL*",BG16,1)*(1-(BG17/BG9)),1)*(AVERAGEIF($C$22:$C$69,"*ECONOMÍA*",BG22:BG69)),"")</f>
        <v/>
      </c>
      <c r="BH73" s="175" t="str">
        <f>IFERROR(INDEX(TablaMaxCalifPos[],MATCH(BH16,HALLAZGOS,0),MATCH($B$8,TablaMaxCalifPos[#Headers],0))*IFERROR(SEARCH("*FISCAL*",BH16,1)*(1-(BH17/BH9)),1)*(AVERAGEIF($C$22:$C$69,"*ECONOMÍA*",BH22:BH69)),"")</f>
        <v/>
      </c>
      <c r="BI73" s="175" t="str">
        <f>IFERROR(INDEX(TablaMaxCalifPos[],MATCH(BI16,HALLAZGOS,0),MATCH($B$8,TablaMaxCalifPos[#Headers],0))*IFERROR(SEARCH("*FISCAL*",BI16,1)*(1-(BI17/BI9)),1)*(AVERAGEIF($C$22:$C$69,"*ECONOMÍA*",BI22:BI69)),"")</f>
        <v/>
      </c>
      <c r="BJ73" s="175" t="str">
        <f>IFERROR(INDEX(TablaMaxCalifPos[],MATCH(BJ16,HALLAZGOS,0),MATCH($B$8,TablaMaxCalifPos[#Headers],0))*IFERROR(SEARCH("*FISCAL*",BJ16,1)*(1-(BJ17/BJ9)),1)*(AVERAGEIF($C$22:$C$69,"*ECONOMÍA*",BJ22:BJ69)),"")</f>
        <v/>
      </c>
      <c r="BK73" s="175" t="str">
        <f>IFERROR(INDEX(TablaMaxCalifPos[],MATCH(BK16,HALLAZGOS,0),MATCH($B$8,TablaMaxCalifPos[#Headers],0))*IFERROR(SEARCH("*FISCAL*",BK16,1)*(1-(BK17/BK9)),1)*(AVERAGEIF($C$22:$C$69,"*ECONOMÍA*",BK22:BK69)),"")</f>
        <v/>
      </c>
      <c r="BL73" s="175" t="str">
        <f>IFERROR(INDEX(TablaMaxCalifPos[],MATCH(BL16,HALLAZGOS,0),MATCH($B$8,TablaMaxCalifPos[#Headers],0))*IFERROR(SEARCH("*FISCAL*",BL16,1)*(1-(BL17/BL9)),1)*(AVERAGEIF($C$22:$C$69,"*ECONOMÍA*",BL22:BL69)),"")</f>
        <v/>
      </c>
      <c r="BM73" s="175" t="str">
        <f>IFERROR(INDEX(TablaMaxCalifPos[],MATCH(BM16,HALLAZGOS,0),MATCH($B$8,TablaMaxCalifPos[#Headers],0))*IFERROR(SEARCH("*FISCAL*",BM16,1)*(1-(BM17/BM9)),1)*(AVERAGEIF($C$22:$C$69,"*ECONOMÍA*",BM22:BM69)),"")</f>
        <v/>
      </c>
      <c r="BN73" s="175" t="str">
        <f>IFERROR(INDEX(TablaMaxCalifPos[],MATCH(BN16,HALLAZGOS,0),MATCH($B$8,TablaMaxCalifPos[#Headers],0))*IFERROR(SEARCH("*FISCAL*",BN16,1)*(1-(BN17/BN9)),1)*(AVERAGEIF($C$22:$C$69,"*ECONOMÍA*",BN22:BN69)),"")</f>
        <v/>
      </c>
      <c r="BO73" s="175" t="str">
        <f>IFERROR(INDEX(TablaMaxCalifPos[],MATCH(BO16,HALLAZGOS,0),MATCH($B$8,TablaMaxCalifPos[#Headers],0))*IFERROR(SEARCH("*FISCAL*",BO16,1)*(1-(BO17/BO9)),1)*(AVERAGEIF($C$22:$C$69,"*ECONOMÍA*",BO22:BO69)),"")</f>
        <v/>
      </c>
      <c r="BP73" s="175" t="str">
        <f>IFERROR(INDEX(TablaMaxCalifPos[],MATCH(BP16,HALLAZGOS,0),MATCH($B$8,TablaMaxCalifPos[#Headers],0))*IFERROR(SEARCH("*FISCAL*",BP16,1)*(1-(BP17/BP9)),1)*(AVERAGEIF($C$22:$C$69,"*ECONOMÍA*",BP22:BP69)),"")</f>
        <v/>
      </c>
      <c r="BQ73" s="175" t="str">
        <f>IFERROR(INDEX(TablaMaxCalifPos[],MATCH(BQ16,HALLAZGOS,0),MATCH($B$8,TablaMaxCalifPos[#Headers],0))*IFERROR(SEARCH("*FISCAL*",BQ16,1)*(1-(BQ17/BQ9)),1)*(AVERAGEIF($C$22:$C$69,"*ECONOMÍA*",BQ22:BQ69)),"")</f>
        <v/>
      </c>
      <c r="BR73" s="175" t="str">
        <f>IFERROR(INDEX(TablaMaxCalifPos[],MATCH(BR16,HALLAZGOS,0),MATCH($B$8,TablaMaxCalifPos[#Headers],0))*IFERROR(SEARCH("*FISCAL*",BR16,1)*(1-(BR17/BR9)),1)*(AVERAGEIF($C$22:$C$69,"*ECONOMÍA*",BR22:BR69)),"")</f>
        <v/>
      </c>
      <c r="BS73" s="175" t="str">
        <f>IFERROR(INDEX(TablaMaxCalifPos[],MATCH(BS16,HALLAZGOS,0),MATCH($B$8,TablaMaxCalifPos[#Headers],0))*IFERROR(SEARCH("*FISCAL*",BS16,1)*(1-(BS17/BS9)),1)*(AVERAGEIF($C$22:$C$69,"*ECONOMÍA*",BS22:BS69)),"")</f>
        <v/>
      </c>
      <c r="BT73" s="175" t="str">
        <f>IFERROR(INDEX(TablaMaxCalifPos[],MATCH(BT16,HALLAZGOS,0),MATCH($B$8,TablaMaxCalifPos[#Headers],0))*IFERROR(SEARCH("*FISCAL*",BT16,1)*(1-(BT17/BT9)),1)*(AVERAGEIF($C$22:$C$69,"*ECONOMÍA*",BT22:BT69)),"")</f>
        <v/>
      </c>
      <c r="BU73" s="175" t="str">
        <f>IFERROR(INDEX(TablaMaxCalifPos[],MATCH(BU16,HALLAZGOS,0),MATCH($B$8,TablaMaxCalifPos[#Headers],0))*IFERROR(SEARCH("*FISCAL*",BU16,1)*(1-(BU17/BU9)),1)*(AVERAGEIF($C$22:$C$69,"*ECONOMÍA*",BU22:BU69)),"")</f>
        <v/>
      </c>
      <c r="BV73" s="175" t="str">
        <f>IFERROR(INDEX(TablaMaxCalifPos[],MATCH(BV16,HALLAZGOS,0),MATCH($B$8,TablaMaxCalifPos[#Headers],0))*IFERROR(SEARCH("*FISCAL*",BV16,1)*(1-(BV17/BV9)),1)*(AVERAGEIF($C$22:$C$69,"*ECONOMÍA*",BV22:BV69)),"")</f>
        <v/>
      </c>
      <c r="BW73" s="175" t="str">
        <f>IFERROR(INDEX(TablaMaxCalifPos[],MATCH(BW16,HALLAZGOS,0),MATCH($B$8,TablaMaxCalifPos[#Headers],0))*IFERROR(SEARCH("*FISCAL*",BW16,1)*(1-(BW17/BW9)),1)*(AVERAGEIF($C$22:$C$69,"*ECONOMÍA*",BW22:BW69)),"")</f>
        <v/>
      </c>
      <c r="BX73" s="175" t="str">
        <f>IFERROR(INDEX(TablaMaxCalifPos[],MATCH(BX16,HALLAZGOS,0),MATCH($B$8,TablaMaxCalifPos[#Headers],0))*IFERROR(SEARCH("*FISCAL*",BX16,1)*(1-(BX17/BX9)),1)*(AVERAGEIF($C$22:$C$69,"*ECONOMÍA*",BX22:BX69)),"")</f>
        <v/>
      </c>
      <c r="BY73" s="175" t="str">
        <f>IFERROR(INDEX(TablaMaxCalifPos[],MATCH(BY16,HALLAZGOS,0),MATCH($B$8,TablaMaxCalifPos[#Headers],0))*IFERROR(SEARCH("*FISCAL*",BY16,1)*(1-(BY17/BY9)),1)*(AVERAGEIF($C$22:$C$69,"*ECONOMÍA*",BY22:BY69)),"")</f>
        <v/>
      </c>
      <c r="BZ73" s="175" t="str">
        <f>IFERROR(INDEX(TablaMaxCalifPos[],MATCH(BZ16,HALLAZGOS,0),MATCH($B$8,TablaMaxCalifPos[#Headers],0))*IFERROR(SEARCH("*FISCAL*",BZ16,1)*(1-(BZ17/BZ9)),1)*(AVERAGEIF($C$22:$C$69,"*ECONOMÍA*",BZ22:BZ69)),"")</f>
        <v/>
      </c>
      <c r="CA73" s="175" t="str">
        <f>IFERROR(INDEX(TablaMaxCalifPos[],MATCH(CA16,HALLAZGOS,0),MATCH($B$8,TablaMaxCalifPos[#Headers],0))*IFERROR(SEARCH("*FISCAL*",CA16,1)*(1-(CA17/CA9)),1)*(AVERAGEIF($C$22:$C$69,"*ECONOMÍA*",CA22:CA69)),"")</f>
        <v/>
      </c>
      <c r="CB73" s="175" t="str">
        <f>IFERROR(INDEX(TablaMaxCalifPos[],MATCH(CB16,HALLAZGOS,0),MATCH($B$8,TablaMaxCalifPos[#Headers],0))*IFERROR(SEARCH("*FISCAL*",CB16,1)*(1-(CB17/CB9)),1)*(AVERAGEIF($C$22:$C$69,"*ECONOMÍA*",CB22:CB69)),"")</f>
        <v/>
      </c>
      <c r="CC73" s="175" t="str">
        <f>IFERROR(INDEX(TablaMaxCalifPos[],MATCH(CC16,HALLAZGOS,0),MATCH($B$8,TablaMaxCalifPos[#Headers],0))*IFERROR(SEARCH("*FISCAL*",CC16,1)*(1-(CC17/CC9)),1)*(AVERAGEIF($C$22:$C$69,"*ECONOMÍA*",CC22:CC69)),"")</f>
        <v/>
      </c>
      <c r="CD73" s="175" t="str">
        <f>IFERROR(INDEX(TablaMaxCalifPos[],MATCH(CD16,HALLAZGOS,0),MATCH($B$8,TablaMaxCalifPos[#Headers],0))*IFERROR(SEARCH("*FISCAL*",CD16,1)*(1-(CD17/CD9)),1)*(AVERAGEIF($C$22:$C$69,"*ECONOMÍA*",CD22:CD69)),"")</f>
        <v/>
      </c>
      <c r="CE73" s="175" t="str">
        <f>IFERROR(INDEX(TablaMaxCalifPos[],MATCH(CE16,HALLAZGOS,0),MATCH($B$8,TablaMaxCalifPos[#Headers],0))*IFERROR(SEARCH("*FISCAL*",CE16,1)*(1-(CE17/CE9)),1)*(AVERAGEIF($C$22:$C$69,"*ECONOMÍA*",CE22:CE69)),"")</f>
        <v/>
      </c>
      <c r="CF73" s="175" t="str">
        <f>IFERROR(INDEX(TablaMaxCalifPos[],MATCH(CF16,HALLAZGOS,0),MATCH($B$8,TablaMaxCalifPos[#Headers],0))*IFERROR(SEARCH("*FISCAL*",CF16,1)*(1-(CF17/CF9)),1)*(AVERAGEIF($C$22:$C$69,"*ECONOMÍA*",CF22:CF69)),"")</f>
        <v/>
      </c>
      <c r="CG73" s="175" t="str">
        <f>IFERROR(INDEX(TablaMaxCalifPos[],MATCH(CG16,HALLAZGOS,0),MATCH($B$8,TablaMaxCalifPos[#Headers],0))*IFERROR(SEARCH("*FISCAL*",CG16,1)*(1-(CG17/CG9)),1)*(AVERAGEIF($C$22:$C$69,"*ECONOMÍA*",CG22:CG69)),"")</f>
        <v/>
      </c>
      <c r="CH73" s="175" t="str">
        <f>IFERROR(INDEX(TablaMaxCalifPos[],MATCH(CH16,HALLAZGOS,0),MATCH($B$8,TablaMaxCalifPos[#Headers],0))*IFERROR(SEARCH("*FISCAL*",CH16,1)*(1-(CH17/CH9)),1)*(AVERAGEIF($C$22:$C$69,"*ECONOMÍA*",CH22:CH69)),"")</f>
        <v/>
      </c>
      <c r="CI73" s="175" t="str">
        <f>IFERROR(INDEX(TablaMaxCalifPos[],MATCH(CI16,HALLAZGOS,0),MATCH($B$8,TablaMaxCalifPos[#Headers],0))*IFERROR(SEARCH("*FISCAL*",CI16,1)*(1-(CI17/CI9)),1)*(AVERAGEIF($C$22:$C$69,"*ECONOMÍA*",CI22:CI69)),"")</f>
        <v/>
      </c>
      <c r="CJ73" s="175" t="str">
        <f>IFERROR(INDEX(TablaMaxCalifPos[],MATCH(CJ16,HALLAZGOS,0),MATCH($B$8,TablaMaxCalifPos[#Headers],0))*IFERROR(SEARCH("*FISCAL*",CJ16,1)*(1-(CJ17/CJ9)),1)*(AVERAGEIF($C$22:$C$69,"*ECONOMÍA*",CJ22:CJ69)),"")</f>
        <v/>
      </c>
      <c r="CK73" s="175" t="str">
        <f>IFERROR(INDEX(TablaMaxCalifPos[],MATCH(CK16,HALLAZGOS,0),MATCH($B$8,TablaMaxCalifPos[#Headers],0))*IFERROR(SEARCH("*FISCAL*",CK16,1)*(1-(CK17/CK9)),1)*(AVERAGEIF($C$22:$C$69,"*ECONOMÍA*",CK22:CK69)),"")</f>
        <v/>
      </c>
      <c r="CL73" s="175" t="str">
        <f>IFERROR(INDEX(TablaMaxCalifPos[],MATCH(CL16,HALLAZGOS,0),MATCH($B$8,TablaMaxCalifPos[#Headers],0))*IFERROR(SEARCH("*FISCAL*",CL16,1)*(1-(CL17/CL9)),1)*(AVERAGEIF($C$22:$C$69,"*ECONOMÍA*",CL22:CL69)),"")</f>
        <v/>
      </c>
      <c r="CM73" s="175" t="str">
        <f>IFERROR(INDEX(TablaMaxCalifPos[],MATCH(CM16,HALLAZGOS,0),MATCH($B$8,TablaMaxCalifPos[#Headers],0))*IFERROR(SEARCH("*FISCAL*",CM16,1)*(1-(CM17/CM9)),1)*(AVERAGEIF($C$22:$C$69,"*ECONOMÍA*",CM22:CM69)),"")</f>
        <v/>
      </c>
      <c r="CN73" s="175" t="str">
        <f>IFERROR(INDEX(TablaMaxCalifPos[],MATCH(CN16,HALLAZGOS,0),MATCH($B$8,TablaMaxCalifPos[#Headers],0))*IFERROR(SEARCH("*FISCAL*",CN16,1)*(1-(CN17/CN9)),1)*(AVERAGEIF($C$22:$C$69,"*ECONOMÍA*",CN22:CN69)),"")</f>
        <v/>
      </c>
      <c r="CO73" s="175" t="str">
        <f>IFERROR(INDEX(TablaMaxCalifPos[],MATCH(CO16,HALLAZGOS,0),MATCH($B$8,TablaMaxCalifPos[#Headers],0))*IFERROR(SEARCH("*FISCAL*",CO16,1)*(1-(CO17/CO9)),1)*(AVERAGEIF($C$22:$C$69,"*ECONOMÍA*",CO22:CO69)),"")</f>
        <v/>
      </c>
      <c r="CP73" s="175" t="str">
        <f>IFERROR(INDEX(TablaMaxCalifPos[],MATCH(CP16,HALLAZGOS,0),MATCH($B$8,TablaMaxCalifPos[#Headers],0))*IFERROR(SEARCH("*FISCAL*",CP16,1)*(1-(CP17/CP9)),1)*(AVERAGEIF($C$22:$C$69,"*ECONOMÍA*",CP22:CP69)),"")</f>
        <v/>
      </c>
      <c r="CQ73" s="175" t="str">
        <f>IFERROR(INDEX(TablaMaxCalifPos[],MATCH(CQ16,HALLAZGOS,0),MATCH($B$8,TablaMaxCalifPos[#Headers],0))*IFERROR(SEARCH("*FISCAL*",CQ16,1)*(1-(CQ17/CQ9)),1)*(AVERAGEIF($C$22:$C$69,"*ECONOMÍA*",CQ22:CQ69)),"")</f>
        <v/>
      </c>
      <c r="CR73" s="175" t="str">
        <f>IFERROR(INDEX(TablaMaxCalifPos[],MATCH(CR16,HALLAZGOS,0),MATCH($B$8,TablaMaxCalifPos[#Headers],0))*IFERROR(SEARCH("*FISCAL*",CR16,1)*(1-(CR17/CR9)),1)*(AVERAGEIF($C$22:$C$69,"*ECONOMÍA*",CR22:CR69)),"")</f>
        <v/>
      </c>
      <c r="CS73" s="175" t="str">
        <f>IFERROR(INDEX(TablaMaxCalifPos[],MATCH(CS16,HALLAZGOS,0),MATCH($B$8,TablaMaxCalifPos[#Headers],0))*IFERROR(SEARCH("*FISCAL*",CS16,1)*(1-(CS17/CS9)),1)*(AVERAGEIF($C$22:$C$69,"*ECONOMÍA*",CS22:CS69)),"")</f>
        <v/>
      </c>
      <c r="CT73" s="175" t="str">
        <f>IFERROR(INDEX(TablaMaxCalifPos[],MATCH(CT16,HALLAZGOS,0),MATCH($B$8,TablaMaxCalifPos[#Headers],0))*IFERROR(SEARCH("*FISCAL*",CT16,1)*(1-(CT17/CT9)),1)*(AVERAGEIF($C$22:$C$69,"*ECONOMÍA*",CT22:CT69)),"")</f>
        <v/>
      </c>
      <c r="CU73" s="175" t="str">
        <f>IFERROR(INDEX(TablaMaxCalifPos[],MATCH(CU16,HALLAZGOS,0),MATCH($B$8,TablaMaxCalifPos[#Headers],0))*IFERROR(SEARCH("*FISCAL*",CU16,1)*(1-(CU17/CU9)),1)*(AVERAGEIF($C$22:$C$69,"*ECONOMÍA*",CU22:CU69)),"")</f>
        <v/>
      </c>
      <c r="CV73" s="175" t="str">
        <f>IFERROR(INDEX(TablaMaxCalifPos[],MATCH(CV16,HALLAZGOS,0),MATCH($B$8,TablaMaxCalifPos[#Headers],0))*IFERROR(SEARCH("*FISCAL*",CV16,1)*(1-(CV17/CV9)),1)*(AVERAGEIF($C$22:$C$69,"*ECONOMÍA*",CV22:CV69)),"")</f>
        <v/>
      </c>
      <c r="CW73" s="175" t="str">
        <f>IFERROR(INDEX(TablaMaxCalifPos[],MATCH(CW16,HALLAZGOS,0),MATCH($B$8,TablaMaxCalifPos[#Headers],0))*IFERROR(SEARCH("*FISCAL*",CW16,1)*(1-(CW17/CW9)),1)*(AVERAGEIF($C$22:$C$69,"*ECONOMÍA*",CW22:CW69)),"")</f>
        <v/>
      </c>
      <c r="CX73" s="175" t="str">
        <f>IFERROR(INDEX(TablaMaxCalifPos[],MATCH(CX16,HALLAZGOS,0),MATCH($B$8,TablaMaxCalifPos[#Headers],0))*IFERROR(SEARCH("*FISCAL*",CX16,1)*(1-(CX17/CX9)),1)*(AVERAGEIF($C$22:$C$69,"*ECONOMÍA*",CX22:CX69)),"")</f>
        <v/>
      </c>
      <c r="CY73" s="175" t="str">
        <f>IFERROR(INDEX(TablaMaxCalifPos[],MATCH(CY16,HALLAZGOS,0),MATCH($B$8,TablaMaxCalifPos[#Headers],0))*IFERROR(SEARCH("*FISCAL*",CY16,1)*(1-(CY17/CY9)),1)*(AVERAGEIF($C$22:$C$69,"*ECONOMÍA*",CY22:CY69)),"")</f>
        <v/>
      </c>
    </row>
    <row r="74" spans="1:105" s="176" customFormat="1" ht="18" x14ac:dyDescent="0.25">
      <c r="C74" s="2537"/>
      <c r="D74" s="174" t="s">
        <v>273</v>
      </c>
      <c r="E74" s="1196">
        <f>IFERROR(INDEX(TablaMaxCalifPos[],MATCH(E16,HALLAZGOS,0),MATCH($B$8,TablaMaxCalifPos[#Headers],0))*IFERROR(SEARCH("*FISCAL*",E16,1)*(1-(E17/E9)),1)*(AVERAGEIF($C$22:$C$69,"*EFICIENCIA*",E22:E69)),"")</f>
        <v>0.6825</v>
      </c>
      <c r="F74" s="1196">
        <f>IFERROR(INDEX(TablaMaxCalifPos[],MATCH(F16,HALLAZGOS,0),MATCH($B$8,TablaMaxCalifPos[#Headers],0))*IFERROR(SEARCH("*FISCAL*",F16,1)*(1-(F17/F9)),1)*(AVERAGEIF($C$22:$C$69,"*EFICIENCIA*",F22:F69)),"")</f>
        <v>0.69600000000000006</v>
      </c>
      <c r="G74" s="1196">
        <f>IFERROR(INDEX(TablaMaxCalifPos[],MATCH(G16,HALLAZGOS,0),MATCH($B$8,TablaMaxCalifPos[#Headers],0))*IFERROR(SEARCH("*FISCAL*",G16,1)*(1-(G17/G9)),1)*(AVERAGEIF($C$22:$C$69,"*EFICIENCIA*",G22:G69)),"")</f>
        <v>0.19780373831775699</v>
      </c>
      <c r="H74" s="1196">
        <f>IFERROR(INDEX(TablaMaxCalifPos[],MATCH(H16,HALLAZGOS,0),MATCH($B$8,TablaMaxCalifPos[#Headers],0))*IFERROR(SEARCH("*FISCAL*",H16,1)*(1-(H17/H9)),1)*(AVERAGEIF($C$22:$C$69,"*EFICIENCIA*",H22:H69)),"")</f>
        <v>0.87749999999999995</v>
      </c>
      <c r="I74" s="1196">
        <f>IFERROR(INDEX(TablaMaxCalifPos[],MATCH(I16,HALLAZGOS,0),MATCH($B$8,TablaMaxCalifPos[#Headers],0))*IFERROR(SEARCH("*FISCAL*",I16,1)*(1-(I17/I9)),1)*(AVERAGEIF($C$22:$C$69,"*EFICIENCIA*",I22:I69)),"")</f>
        <v>0.95</v>
      </c>
      <c r="J74" s="1196">
        <f>IFERROR(INDEX(TablaMaxCalifPos[],MATCH(J16,HALLAZGOS,0),MATCH($B$8,TablaMaxCalifPos[#Headers],0))*IFERROR(SEARCH("*FISCAL*",J16,1)*(1-(J17/J9)),1)*(AVERAGEIF($C$22:$C$69,"*EFICIENCIA*",J22:J69)),"")</f>
        <v>0.76</v>
      </c>
      <c r="K74" s="1196">
        <f>IFERROR(INDEX(TablaMaxCalifPos[],MATCH(K16,HALLAZGOS,0),MATCH($B$8,TablaMaxCalifPos[#Headers],0))*IFERROR(SEARCH("*FISCAL*",K16,1)*(1-(K17/K9)),1)*(AVERAGEIF($C$22:$C$69,"*EFICIENCIA*",K22:K69)),"")</f>
        <v>0.82000000000000006</v>
      </c>
      <c r="L74" s="1196" t="str">
        <f>IFERROR(INDEX(TablaMaxCalifPos[],MATCH(L16,HALLAZGOS,0),MATCH($B$8,TablaMaxCalifPos[#Headers],0))*IFERROR(SEARCH("*FISCAL*",L16,1)*(1-(L17/L9)),1)*(AVERAGEIF($C$22:$C$69,"*EFICIENCIA*",L22:L69)),"")</f>
        <v/>
      </c>
      <c r="M74" s="1196" t="str">
        <f>IFERROR(INDEX(TablaMaxCalifPos[],MATCH(M16,HALLAZGOS,0),MATCH($B$8,TablaMaxCalifPos[#Headers],0))*IFERROR(SEARCH("*FISCAL*",M16,1)*(1-(M17/M9)),1)*(AVERAGEIF($C$22:$C$69,"*EFICIENCIA*",M22:M69)),"")</f>
        <v/>
      </c>
      <c r="N74" s="1196" t="str">
        <f>IFERROR(INDEX(TablaMaxCalifPos[],MATCH(N16,HALLAZGOS,0),MATCH($B$8,TablaMaxCalifPos[#Headers],0))*IFERROR(SEARCH("*FISCAL*",N16,1)*(1-(N17/N9)),1)*(AVERAGEIF($C$22:$C$69,"*EFICIENCIA*",N22:N69)),"")</f>
        <v/>
      </c>
      <c r="O74" s="1196" t="str">
        <f>IFERROR(INDEX(TablaMaxCalifPos[],MATCH(O16,HALLAZGOS,0),MATCH($B$8,TablaMaxCalifPos[#Headers],0))*IFERROR(SEARCH("*FISCAL*",O16,1)*(1-(O17/O9)),1)*(AVERAGEIF($C$22:$C$69,"*EFICIENCIA*",O22:O69)),"")</f>
        <v/>
      </c>
      <c r="P74" s="1196" t="str">
        <f>IFERROR(INDEX(TablaMaxCalifPos[],MATCH(P16,HALLAZGOS,0),MATCH($B$8,TablaMaxCalifPos[#Headers],0))*IFERROR(SEARCH("*FISCAL*",P16,1)*(1-(P17/P9)),1)*(AVERAGEIF($C$22:$C$69,"*EFICIENCIA*",P22:P69)),"")</f>
        <v/>
      </c>
      <c r="Q74" s="1196" t="str">
        <f>IFERROR(INDEX(TablaMaxCalifPos[],MATCH(Q16,HALLAZGOS,0),MATCH($B$8,TablaMaxCalifPos[#Headers],0))*IFERROR(SEARCH("*FISCAL*",Q16,1)*(1-(Q17/Q9)),1)*(AVERAGEIF($C$22:$C$69,"*EFICIENCIA*",Q22:Q69)),"")</f>
        <v/>
      </c>
      <c r="R74" s="1196" t="str">
        <f>IFERROR(INDEX(TablaMaxCalifPos[],MATCH(R16,HALLAZGOS,0),MATCH($B$8,TablaMaxCalifPos[#Headers],0))*IFERROR(SEARCH("*FISCAL*",R16,1)*(1-(R17/R9)),1)*(AVERAGEIF($C$22:$C$69,"*EFICIENCIA*",R22:R69)),"")</f>
        <v/>
      </c>
      <c r="S74" s="1196" t="str">
        <f>IFERROR(INDEX(TablaMaxCalifPos[],MATCH(S16,HALLAZGOS,0),MATCH($B$8,TablaMaxCalifPos[#Headers],0))*IFERROR(SEARCH("*FISCAL*",S16,1)*(1-(S17/S9)),1)*(AVERAGEIF($C$22:$C$69,"*EFICIENCIA*",S22:S69)),"")</f>
        <v/>
      </c>
      <c r="T74" s="1196" t="str">
        <f>IFERROR(INDEX(TablaMaxCalifPos[],MATCH(T16,HALLAZGOS,0),MATCH($B$8,TablaMaxCalifPos[#Headers],0))*IFERROR(SEARCH("*FISCAL*",T16,1)*(1-(T17/T9)),1)*(AVERAGEIF($C$22:$C$69,"*EFICIENCIA*",T22:T69)),"")</f>
        <v/>
      </c>
      <c r="U74" s="1196" t="str">
        <f>IFERROR(INDEX(TablaMaxCalifPos[],MATCH(U16,HALLAZGOS,0),MATCH($B$8,TablaMaxCalifPos[#Headers],0))*IFERROR(SEARCH("*FISCAL*",U16,1)*(1-(U17/U9)),1)*(AVERAGEIF($C$22:$C$69,"*EFICIENCIA*",U22:U69)),"")</f>
        <v/>
      </c>
      <c r="V74" s="1196" t="str">
        <f>IFERROR(INDEX(TablaMaxCalifPos[],MATCH(V16,HALLAZGOS,0),MATCH($B$8,TablaMaxCalifPos[#Headers],0))*IFERROR(SEARCH("*FISCAL*",V16,1)*(1-(V17/V9)),1)*(AVERAGEIF($C$22:$C$69,"*EFICIENCIA*",V22:V69)),"")</f>
        <v/>
      </c>
      <c r="W74" s="1196" t="str">
        <f>IFERROR(INDEX(TablaMaxCalifPos[],MATCH(W16,HALLAZGOS,0),MATCH($B$8,TablaMaxCalifPos[#Headers],0))*IFERROR(SEARCH("*FISCAL*",W16,1)*(1-(W17/W9)),1)*(AVERAGEIF($C$22:$C$69,"*EFICIENCIA*",W22:W69)),"")</f>
        <v/>
      </c>
      <c r="X74" s="1196" t="str">
        <f>IFERROR(INDEX(TablaMaxCalifPos[],MATCH(X16,HALLAZGOS,0),MATCH($B$8,TablaMaxCalifPos[#Headers],0))*IFERROR(SEARCH("*FISCAL*",X16,1)*(1-(X17/X9)),1)*(AVERAGEIF($C$22:$C$69,"*EFICIENCIA*",X22:X69)),"")</f>
        <v/>
      </c>
      <c r="Y74" s="1196" t="str">
        <f>IFERROR(INDEX(TablaMaxCalifPos[],MATCH(Y16,HALLAZGOS,0),MATCH($B$8,TablaMaxCalifPos[#Headers],0))*IFERROR(SEARCH("*FISCAL*",Y16,1)*(1-(Y17/Y9)),1)*(AVERAGEIF($C$22:$C$69,"*EFICIENCIA*",Y22:Y69)),"")</f>
        <v/>
      </c>
      <c r="Z74" s="1196" t="str">
        <f>IFERROR(INDEX(TablaMaxCalifPos[],MATCH(Z16,HALLAZGOS,0),MATCH($B$8,TablaMaxCalifPos[#Headers],0))*IFERROR(SEARCH("*FISCAL*",Z16,1)*(1-(Z17/Z9)),1)*(AVERAGEIF($C$22:$C$69,"*EFICIENCIA*",Z22:Z69)),"")</f>
        <v/>
      </c>
      <c r="AA74" s="1196" t="str">
        <f>IFERROR(INDEX(TablaMaxCalifPos[],MATCH(AA16,HALLAZGOS,0),MATCH($B$8,TablaMaxCalifPos[#Headers],0))*IFERROR(SEARCH("*FISCAL*",AA16,1)*(1-(AA17/AA9)),1)*(AVERAGEIF($C$22:$C$69,"*EFICIENCIA*",AA22:AA69)),"")</f>
        <v/>
      </c>
      <c r="AB74" s="1196" t="str">
        <f>IFERROR(INDEX(TablaMaxCalifPos[],MATCH(AB16,HALLAZGOS,0),MATCH($B$8,TablaMaxCalifPos[#Headers],0))*IFERROR(SEARCH("*FISCAL*",AB16,1)*(1-(AB17/AB9)),1)*(AVERAGEIF($C$22:$C$69,"*EFICIENCIA*",AB22:AB69)),"")</f>
        <v/>
      </c>
      <c r="AC74" s="1196" t="str">
        <f>IFERROR(INDEX(TablaMaxCalifPos[],MATCH(AC16,HALLAZGOS,0),MATCH($B$8,TablaMaxCalifPos[#Headers],0))*IFERROR(SEARCH("*FISCAL*",AC16,1)*(1-(AC17/AC9)),1)*(AVERAGEIF($C$22:$C$69,"*EFICIENCIA*",AC22:AC69)),"")</f>
        <v/>
      </c>
      <c r="AD74" s="1196" t="str">
        <f>IFERROR(INDEX(TablaMaxCalifPos[],MATCH(AD16,HALLAZGOS,0),MATCH($B$8,TablaMaxCalifPos[#Headers],0))*IFERROR(SEARCH("*FISCAL*",AD16,1)*(1-(AD17/AD9)),1)*(AVERAGEIF($C$22:$C$69,"*EFICIENCIA*",AD22:AD69)),"")</f>
        <v/>
      </c>
      <c r="AE74" s="1196" t="str">
        <f>IFERROR(INDEX(TablaMaxCalifPos[],MATCH(AE16,HALLAZGOS,0),MATCH($B$8,TablaMaxCalifPos[#Headers],0))*IFERROR(SEARCH("*FISCAL*",AE16,1)*(1-(AE17/AE9)),1)*(AVERAGEIF($C$22:$C$69,"*EFICIENCIA*",AE22:AE69)),"")</f>
        <v/>
      </c>
      <c r="AF74" s="1196" t="str">
        <f>IFERROR(INDEX(TablaMaxCalifPos[],MATCH(AF16,HALLAZGOS,0),MATCH($B$8,TablaMaxCalifPos[#Headers],0))*IFERROR(SEARCH("*FISCAL*",AF16,1)*(1-(AF17/AF9)),1)*(AVERAGEIF($C$22:$C$69,"*EFICIENCIA*",AF22:AF69)),"")</f>
        <v/>
      </c>
      <c r="AG74" s="1196" t="str">
        <f>IFERROR(INDEX(TablaMaxCalifPos[],MATCH(AG16,HALLAZGOS,0),MATCH($B$8,TablaMaxCalifPos[#Headers],0))*IFERROR(SEARCH("*FISCAL*",AG16,1)*(1-(AG17/AG9)),1)*(AVERAGEIF($C$22:$C$69,"*EFICIENCIA*",AG22:AG69)),"")</f>
        <v/>
      </c>
      <c r="AH74" s="1196" t="str">
        <f>IFERROR(INDEX(TablaMaxCalifPos[],MATCH(AH16,HALLAZGOS,0),MATCH($B$8,TablaMaxCalifPos[#Headers],0))*IFERROR(SEARCH("*FISCAL*",AH16,1)*(1-(AH17/AH9)),1)*(AVERAGEIF($C$22:$C$69,"*EFICIENCIA*",AH22:AH69)),"")</f>
        <v/>
      </c>
      <c r="AI74" s="1196" t="str">
        <f>IFERROR(INDEX(TablaMaxCalifPos[],MATCH(AI16,HALLAZGOS,0),MATCH($B$8,TablaMaxCalifPos[#Headers],0))*IFERROR(SEARCH("*FISCAL*",AI16,1)*(1-(AI17/AI9)),1)*(AVERAGEIF($C$22:$C$69,"*EFICIENCIA*",AI22:AI69)),"")</f>
        <v/>
      </c>
      <c r="AJ74" s="1196" t="str">
        <f>IFERROR(INDEX(TablaMaxCalifPos[],MATCH(AJ16,HALLAZGOS,0),MATCH($B$8,TablaMaxCalifPos[#Headers],0))*IFERROR(SEARCH("*FISCAL*",AJ16,1)*(1-(AJ17/AJ9)),1)*(AVERAGEIF($C$22:$C$69,"*EFICIENCIA*",AJ22:AJ69)),"")</f>
        <v/>
      </c>
      <c r="AK74" s="1196" t="str">
        <f>IFERROR(INDEX(TablaMaxCalifPos[],MATCH(AK16,HALLAZGOS,0),MATCH($B$8,TablaMaxCalifPos[#Headers],0))*IFERROR(SEARCH("*FISCAL*",AK16,1)*(1-(AK17/AK9)),1)*(AVERAGEIF($C$22:$C$69,"*EFICIENCIA*",AK22:AK69)),"")</f>
        <v/>
      </c>
      <c r="AL74" s="1196" t="str">
        <f>IFERROR(INDEX(TablaMaxCalifPos[],MATCH(AL16,HALLAZGOS,0),MATCH($B$8,TablaMaxCalifPos[#Headers],0))*IFERROR(SEARCH("*FISCAL*",AL16,1)*(1-(AL17/AL9)),1)*(AVERAGEIF($C$22:$C$69,"*EFICIENCIA*",AL22:AL69)),"")</f>
        <v/>
      </c>
      <c r="AM74" s="1196" t="str">
        <f>IFERROR(INDEX(TablaMaxCalifPos[],MATCH(AM16,HALLAZGOS,0),MATCH($B$8,TablaMaxCalifPos[#Headers],0))*IFERROR(SEARCH("*FISCAL*",AM16,1)*(1-(AM17/AM9)),1)*(AVERAGEIF($C$22:$C$69,"*EFICIENCIA*",AM22:AM69)),"")</f>
        <v/>
      </c>
      <c r="AN74" s="1196" t="str">
        <f>IFERROR(INDEX(TablaMaxCalifPos[],MATCH(AN16,HALLAZGOS,0),MATCH($B$8,TablaMaxCalifPos[#Headers],0))*IFERROR(SEARCH("*FISCAL*",AN16,1)*(1-(AN17/AN9)),1)*(AVERAGEIF($C$22:$C$69,"*EFICIENCIA*",AN22:AN69)),"")</f>
        <v/>
      </c>
      <c r="AO74" s="1196" t="str">
        <f>IFERROR(INDEX(TablaMaxCalifPos[],MATCH(AO16,HALLAZGOS,0),MATCH($B$8,TablaMaxCalifPos[#Headers],0))*IFERROR(SEARCH("*FISCAL*",AO16,1)*(1-(AO17/AO9)),1)*(AVERAGEIF($C$22:$C$69,"*EFICIENCIA*",AO22:AO69)),"")</f>
        <v/>
      </c>
      <c r="AP74" s="1196" t="str">
        <f>IFERROR(INDEX(TablaMaxCalifPos[],MATCH(AP16,HALLAZGOS,0),MATCH($B$8,TablaMaxCalifPos[#Headers],0))*IFERROR(SEARCH("*FISCAL*",AP16,1)*(1-(AP17/AP9)),1)*(AVERAGEIF($C$22:$C$69,"*EFICIENCIA*",AP22:AP69)),"")</f>
        <v/>
      </c>
      <c r="AQ74" s="1196" t="str">
        <f>IFERROR(INDEX(TablaMaxCalifPos[],MATCH(AQ16,HALLAZGOS,0),MATCH($B$8,TablaMaxCalifPos[#Headers],0))*IFERROR(SEARCH("*FISCAL*",AQ16,1)*(1-(AQ17/AQ9)),1)*(AVERAGEIF($C$22:$C$69,"*EFICIENCIA*",AQ22:AQ69)),"")</f>
        <v/>
      </c>
      <c r="AR74" s="1196" t="str">
        <f>IFERROR(INDEX(TablaMaxCalifPos[],MATCH(AR16,HALLAZGOS,0),MATCH($B$8,TablaMaxCalifPos[#Headers],0))*IFERROR(SEARCH("*FISCAL*",AR16,1)*(1-(AR17/AR9)),1)*(AVERAGEIF($C$22:$C$69,"*EFICIENCIA*",AR22:AR69)),"")</f>
        <v/>
      </c>
      <c r="AS74" s="1196" t="str">
        <f>IFERROR(INDEX(TablaMaxCalifPos[],MATCH(AS16,HALLAZGOS,0),MATCH($B$8,TablaMaxCalifPos[#Headers],0))*IFERROR(SEARCH("*FISCAL*",AS16,1)*(1-(AS17/AS9)),1)*(AVERAGEIF($C$22:$C$69,"*EFICIENCIA*",AS22:AS69)),"")</f>
        <v/>
      </c>
      <c r="AT74" s="1196" t="str">
        <f>IFERROR(INDEX(TablaMaxCalifPos[],MATCH(AT16,HALLAZGOS,0),MATCH($B$8,TablaMaxCalifPos[#Headers],0))*IFERROR(SEARCH("*FISCAL*",AT16,1)*(1-(AT17/AT9)),1)*(AVERAGEIF($C$22:$C$69,"*EFICIENCIA*",AT22:AT69)),"")</f>
        <v/>
      </c>
      <c r="AU74" s="1196" t="str">
        <f>IFERROR(INDEX(TablaMaxCalifPos[],MATCH(AU16,HALLAZGOS,0),MATCH($B$8,TablaMaxCalifPos[#Headers],0))*IFERROR(SEARCH("*FISCAL*",AU16,1)*(1-(AU17/AU9)),1)*(AVERAGEIF($C$22:$C$69,"*EFICIENCIA*",AU22:AU69)),"")</f>
        <v/>
      </c>
      <c r="AV74" s="1196" t="str">
        <f>IFERROR(INDEX(TablaMaxCalifPos[],MATCH(AV16,HALLAZGOS,0),MATCH($B$8,TablaMaxCalifPos[#Headers],0))*IFERROR(SEARCH("*FISCAL*",AV16,1)*(1-(AV17/AV9)),1)*(AVERAGEIF($C$22:$C$69,"*EFICIENCIA*",AV22:AV69)),"")</f>
        <v/>
      </c>
      <c r="AW74" s="1196" t="str">
        <f>IFERROR(INDEX(TablaMaxCalifPos[],MATCH(AW16,HALLAZGOS,0),MATCH($B$8,TablaMaxCalifPos[#Headers],0))*IFERROR(SEARCH("*FISCAL*",AW16,1)*(1-(AW17/AW9)),1)*(AVERAGEIF($C$22:$C$69,"*EFICIENCIA*",AW22:AW69)),"")</f>
        <v/>
      </c>
      <c r="AX74" s="1196" t="str">
        <f>IFERROR(INDEX(TablaMaxCalifPos[],MATCH(AX16,HALLAZGOS,0),MATCH($B$8,TablaMaxCalifPos[#Headers],0))*IFERROR(SEARCH("*FISCAL*",AX16,1)*(1-(AX17/AX9)),1)*(AVERAGEIF($C$22:$C$69,"*EFICIENCIA*",AX22:AX69)),"")</f>
        <v/>
      </c>
      <c r="AY74" s="1196" t="str">
        <f>IFERROR(INDEX(TablaMaxCalifPos[],MATCH(AY16,HALLAZGOS,0),MATCH($B$8,TablaMaxCalifPos[#Headers],0))*IFERROR(SEARCH("*FISCAL*",AY16,1)*(1-(AY17/AY9)),1)*(AVERAGEIF($C$22:$C$69,"*EFICIENCIA*",AY22:AY69)),"")</f>
        <v/>
      </c>
      <c r="AZ74" s="1196" t="str">
        <f>IFERROR(INDEX(TablaMaxCalifPos[],MATCH(AZ16,HALLAZGOS,0),MATCH($B$8,TablaMaxCalifPos[#Headers],0))*IFERROR(SEARCH("*FISCAL*",AZ16,1)*(1-(AZ17/AZ9)),1)*(AVERAGEIF($C$22:$C$69,"*EFICIENCIA*",AZ22:AZ69)),"")</f>
        <v/>
      </c>
      <c r="BA74" s="1196" t="str">
        <f>IFERROR(INDEX(TablaMaxCalifPos[],MATCH(BA16,HALLAZGOS,0),MATCH($B$8,TablaMaxCalifPos[#Headers],0))*IFERROR(SEARCH("*FISCAL*",BA16,1)*(1-(BA17/BA9)),1)*(AVERAGEIF($C$22:$C$69,"*EFICIENCIA*",BA22:BA69)),"")</f>
        <v/>
      </c>
      <c r="BB74" s="1196" t="str">
        <f>IFERROR(INDEX(TablaMaxCalifPos[],MATCH(BB16,HALLAZGOS,0),MATCH($B$8,TablaMaxCalifPos[#Headers],0))*IFERROR(SEARCH("*FISCAL*",BB16,1)*(1-(BB17/BB9)),1)*(AVERAGEIF($C$22:$C$69,"*EFICIENCIA*",BB22:BB69)),"")</f>
        <v/>
      </c>
      <c r="BC74" s="1196" t="str">
        <f>IFERROR(INDEX(TablaMaxCalifPos[],MATCH(BC16,HALLAZGOS,0),MATCH($B$8,TablaMaxCalifPos[#Headers],0))*IFERROR(SEARCH("*FISCAL*",BC16,1)*(1-(BC17/BC9)),1)*(AVERAGEIF($C$22:$C$69,"*EFICIENCIA*",BC22:BC69)),"")</f>
        <v/>
      </c>
      <c r="BD74" s="1196" t="str">
        <f>IFERROR(INDEX(TablaMaxCalifPos[],MATCH(BD16,HALLAZGOS,0),MATCH($B$8,TablaMaxCalifPos[#Headers],0))*IFERROR(SEARCH("*FISCAL*",BD16,1)*(1-(BD17/BD9)),1)*(AVERAGEIF($C$22:$C$69,"*EFICIENCIA*",BD22:BD69)),"")</f>
        <v/>
      </c>
      <c r="BE74" s="1196" t="str">
        <f>IFERROR(INDEX(TablaMaxCalifPos[],MATCH(BE16,HALLAZGOS,0),MATCH($B$8,TablaMaxCalifPos[#Headers],0))*IFERROR(SEARCH("*FISCAL*",BE16,1)*(1-(BE17/BE9)),1)*(AVERAGEIF($C$22:$C$69,"*EFICIENCIA*",BE22:BE69)),"")</f>
        <v/>
      </c>
      <c r="BF74" s="1196" t="str">
        <f>IFERROR(INDEX(TablaMaxCalifPos[],MATCH(BF16,HALLAZGOS,0),MATCH($B$8,TablaMaxCalifPos[#Headers],0))*IFERROR(SEARCH("*FISCAL*",BF16,1)*(1-(BF17/BF9)),1)*(AVERAGEIF($C$22:$C$69,"*EFICIENCIA*",BF22:BF69)),"")</f>
        <v/>
      </c>
      <c r="BG74" s="1196" t="str">
        <f>IFERROR(INDEX(TablaMaxCalifPos[],MATCH(BG16,HALLAZGOS,0),MATCH($B$8,TablaMaxCalifPos[#Headers],0))*IFERROR(SEARCH("*FISCAL*",BG16,1)*(1-(BG17/BG9)),1)*(AVERAGEIF($C$22:$C$69,"*EFICIENCIA*",BG22:BG69)),"")</f>
        <v/>
      </c>
      <c r="BH74" s="1196" t="str">
        <f>IFERROR(INDEX(TablaMaxCalifPos[],MATCH(BH16,HALLAZGOS,0),MATCH($B$8,TablaMaxCalifPos[#Headers],0))*IFERROR(SEARCH("*FISCAL*",BH16,1)*(1-(BH17/BH9)),1)*(AVERAGEIF($C$22:$C$69,"*EFICIENCIA*",BH22:BH69)),"")</f>
        <v/>
      </c>
      <c r="BI74" s="1196" t="str">
        <f>IFERROR(INDEX(TablaMaxCalifPos[],MATCH(BI16,HALLAZGOS,0),MATCH($B$8,TablaMaxCalifPos[#Headers],0))*IFERROR(SEARCH("*FISCAL*",BI16,1)*(1-(BI17/BI9)),1)*(AVERAGEIF($C$22:$C$69,"*EFICIENCIA*",BI22:BI69)),"")</f>
        <v/>
      </c>
      <c r="BJ74" s="1196" t="str">
        <f>IFERROR(INDEX(TablaMaxCalifPos[],MATCH(BJ16,HALLAZGOS,0),MATCH($B$8,TablaMaxCalifPos[#Headers],0))*IFERROR(SEARCH("*FISCAL*",BJ16,1)*(1-(BJ17/BJ9)),1)*(AVERAGEIF($C$22:$C$69,"*EFICIENCIA*",BJ22:BJ69)),"")</f>
        <v/>
      </c>
      <c r="BK74" s="1196" t="str">
        <f>IFERROR(INDEX(TablaMaxCalifPos[],MATCH(BK16,HALLAZGOS,0),MATCH($B$8,TablaMaxCalifPos[#Headers],0))*IFERROR(SEARCH("*FISCAL*",BK16,1)*(1-(BK17/BK9)),1)*(AVERAGEIF($C$22:$C$69,"*EFICIENCIA*",BK22:BK69)),"")</f>
        <v/>
      </c>
      <c r="BL74" s="1196" t="str">
        <f>IFERROR(INDEX(TablaMaxCalifPos[],MATCH(BL16,HALLAZGOS,0),MATCH($B$8,TablaMaxCalifPos[#Headers],0))*IFERROR(SEARCH("*FISCAL*",BL16,1)*(1-(BL17/BL9)),1)*(AVERAGEIF($C$22:$C$69,"*EFICIENCIA*",BL22:BL69)),"")</f>
        <v/>
      </c>
      <c r="BM74" s="1196" t="str">
        <f>IFERROR(INDEX(TablaMaxCalifPos[],MATCH(BM16,HALLAZGOS,0),MATCH($B$8,TablaMaxCalifPos[#Headers],0))*IFERROR(SEARCH("*FISCAL*",BM16,1)*(1-(BM17/BM9)),1)*(AVERAGEIF($C$22:$C$69,"*EFICIENCIA*",BM22:BM69)),"")</f>
        <v/>
      </c>
      <c r="BN74" s="1196" t="str">
        <f>IFERROR(INDEX(TablaMaxCalifPos[],MATCH(BN16,HALLAZGOS,0),MATCH($B$8,TablaMaxCalifPos[#Headers],0))*IFERROR(SEARCH("*FISCAL*",BN16,1)*(1-(BN17/BN9)),1)*(AVERAGEIF($C$22:$C$69,"*EFICIENCIA*",BN22:BN69)),"")</f>
        <v/>
      </c>
      <c r="BO74" s="1196" t="str">
        <f>IFERROR(INDEX(TablaMaxCalifPos[],MATCH(BO16,HALLAZGOS,0),MATCH($B$8,TablaMaxCalifPos[#Headers],0))*IFERROR(SEARCH("*FISCAL*",BO16,1)*(1-(BO17/BO9)),1)*(AVERAGEIF($C$22:$C$69,"*EFICIENCIA*",BO22:BO69)),"")</f>
        <v/>
      </c>
      <c r="BP74" s="1196" t="str">
        <f>IFERROR(INDEX(TablaMaxCalifPos[],MATCH(BP16,HALLAZGOS,0),MATCH($B$8,TablaMaxCalifPos[#Headers],0))*IFERROR(SEARCH("*FISCAL*",BP16,1)*(1-(BP17/BP9)),1)*(AVERAGEIF($C$22:$C$69,"*EFICIENCIA*",BP22:BP69)),"")</f>
        <v/>
      </c>
      <c r="BQ74" s="1196" t="str">
        <f>IFERROR(INDEX(TablaMaxCalifPos[],MATCH(BQ16,HALLAZGOS,0),MATCH($B$8,TablaMaxCalifPos[#Headers],0))*IFERROR(SEARCH("*FISCAL*",BQ16,1)*(1-(BQ17/BQ9)),1)*(AVERAGEIF($C$22:$C$69,"*EFICIENCIA*",BQ22:BQ69)),"")</f>
        <v/>
      </c>
      <c r="BR74" s="1196" t="str">
        <f>IFERROR(INDEX(TablaMaxCalifPos[],MATCH(BR16,HALLAZGOS,0),MATCH($B$8,TablaMaxCalifPos[#Headers],0))*IFERROR(SEARCH("*FISCAL*",BR16,1)*(1-(BR17/BR9)),1)*(AVERAGEIF($C$22:$C$69,"*EFICIENCIA*",BR22:BR69)),"")</f>
        <v/>
      </c>
      <c r="BS74" s="1196" t="str">
        <f>IFERROR(INDEX(TablaMaxCalifPos[],MATCH(BS16,HALLAZGOS,0),MATCH($B$8,TablaMaxCalifPos[#Headers],0))*IFERROR(SEARCH("*FISCAL*",BS16,1)*(1-(BS17/BS9)),1)*(AVERAGEIF($C$22:$C$69,"*EFICIENCIA*",BS22:BS69)),"")</f>
        <v/>
      </c>
      <c r="BT74" s="1196" t="str">
        <f>IFERROR(INDEX(TablaMaxCalifPos[],MATCH(BT16,HALLAZGOS,0),MATCH($B$8,TablaMaxCalifPos[#Headers],0))*IFERROR(SEARCH("*FISCAL*",BT16,1)*(1-(BT17/BT9)),1)*(AVERAGEIF($C$22:$C$69,"*EFICIENCIA*",BT22:BT69)),"")</f>
        <v/>
      </c>
      <c r="BU74" s="1196" t="str">
        <f>IFERROR(INDEX(TablaMaxCalifPos[],MATCH(BU16,HALLAZGOS,0),MATCH($B$8,TablaMaxCalifPos[#Headers],0))*IFERROR(SEARCH("*FISCAL*",BU16,1)*(1-(BU17/BU9)),1)*(AVERAGEIF($C$22:$C$69,"*EFICIENCIA*",BU22:BU69)),"")</f>
        <v/>
      </c>
      <c r="BV74" s="1196" t="str">
        <f>IFERROR(INDEX(TablaMaxCalifPos[],MATCH(BV16,HALLAZGOS,0),MATCH($B$8,TablaMaxCalifPos[#Headers],0))*IFERROR(SEARCH("*FISCAL*",BV16,1)*(1-(BV17/BV9)),1)*(AVERAGEIF($C$22:$C$69,"*EFICIENCIA*",BV22:BV69)),"")</f>
        <v/>
      </c>
      <c r="BW74" s="1196" t="str">
        <f>IFERROR(INDEX(TablaMaxCalifPos[],MATCH(BW16,HALLAZGOS,0),MATCH($B$8,TablaMaxCalifPos[#Headers],0))*IFERROR(SEARCH("*FISCAL*",BW16,1)*(1-(BW17/BW9)),1)*(AVERAGEIF($C$22:$C$69,"*EFICIENCIA*",BW22:BW69)),"")</f>
        <v/>
      </c>
      <c r="BX74" s="1196" t="str">
        <f>IFERROR(INDEX(TablaMaxCalifPos[],MATCH(BX16,HALLAZGOS,0),MATCH($B$8,TablaMaxCalifPos[#Headers],0))*IFERROR(SEARCH("*FISCAL*",BX16,1)*(1-(BX17/BX9)),1)*(AVERAGEIF($C$22:$C$69,"*EFICIENCIA*",BX22:BX69)),"")</f>
        <v/>
      </c>
      <c r="BY74" s="1196" t="str">
        <f>IFERROR(INDEX(TablaMaxCalifPos[],MATCH(BY16,HALLAZGOS,0),MATCH($B$8,TablaMaxCalifPos[#Headers],0))*IFERROR(SEARCH("*FISCAL*",BY16,1)*(1-(BY17/BY9)),1)*(AVERAGEIF($C$22:$C$69,"*EFICIENCIA*",BY22:BY69)),"")</f>
        <v/>
      </c>
      <c r="BZ74" s="1196" t="str">
        <f>IFERROR(INDEX(TablaMaxCalifPos[],MATCH(BZ16,HALLAZGOS,0),MATCH($B$8,TablaMaxCalifPos[#Headers],0))*IFERROR(SEARCH("*FISCAL*",BZ16,1)*(1-(BZ17/BZ9)),1)*(AVERAGEIF($C$22:$C$69,"*EFICIENCIA*",BZ22:BZ69)),"")</f>
        <v/>
      </c>
      <c r="CA74" s="1196" t="str">
        <f>IFERROR(INDEX(TablaMaxCalifPos[],MATCH(CA16,HALLAZGOS,0),MATCH($B$8,TablaMaxCalifPos[#Headers],0))*IFERROR(SEARCH("*FISCAL*",CA16,1)*(1-(CA17/CA9)),1)*(AVERAGEIF($C$22:$C$69,"*EFICIENCIA*",CA22:CA69)),"")</f>
        <v/>
      </c>
      <c r="CB74" s="1196" t="str">
        <f>IFERROR(INDEX(TablaMaxCalifPos[],MATCH(CB16,HALLAZGOS,0),MATCH($B$8,TablaMaxCalifPos[#Headers],0))*IFERROR(SEARCH("*FISCAL*",CB16,1)*(1-(CB17/CB9)),1)*(AVERAGEIF($C$22:$C$69,"*EFICIENCIA*",CB22:CB69)),"")</f>
        <v/>
      </c>
      <c r="CC74" s="1196" t="str">
        <f>IFERROR(INDEX(TablaMaxCalifPos[],MATCH(CC16,HALLAZGOS,0),MATCH($B$8,TablaMaxCalifPos[#Headers],0))*IFERROR(SEARCH("*FISCAL*",CC16,1)*(1-(CC17/CC9)),1)*(AVERAGEIF($C$22:$C$69,"*EFICIENCIA*",CC22:CC69)),"")</f>
        <v/>
      </c>
      <c r="CD74" s="1196" t="str">
        <f>IFERROR(INDEX(TablaMaxCalifPos[],MATCH(CD16,HALLAZGOS,0),MATCH($B$8,TablaMaxCalifPos[#Headers],0))*IFERROR(SEARCH("*FISCAL*",CD16,1)*(1-(CD17/CD9)),1)*(AVERAGEIF($C$22:$C$69,"*EFICIENCIA*",CD22:CD69)),"")</f>
        <v/>
      </c>
      <c r="CE74" s="1196" t="str">
        <f>IFERROR(INDEX(TablaMaxCalifPos[],MATCH(CE16,HALLAZGOS,0),MATCH($B$8,TablaMaxCalifPos[#Headers],0))*IFERROR(SEARCH("*FISCAL*",CE16,1)*(1-(CE17/CE9)),1)*(AVERAGEIF($C$22:$C$69,"*EFICIENCIA*",CE22:CE69)),"")</f>
        <v/>
      </c>
      <c r="CF74" s="1196" t="str">
        <f>IFERROR(INDEX(TablaMaxCalifPos[],MATCH(CF16,HALLAZGOS,0),MATCH($B$8,TablaMaxCalifPos[#Headers],0))*IFERROR(SEARCH("*FISCAL*",CF16,1)*(1-(CF17/CF9)),1)*(AVERAGEIF($C$22:$C$69,"*EFICIENCIA*",CF22:CF69)),"")</f>
        <v/>
      </c>
      <c r="CG74" s="1196" t="str">
        <f>IFERROR(INDEX(TablaMaxCalifPos[],MATCH(CG16,HALLAZGOS,0),MATCH($B$8,TablaMaxCalifPos[#Headers],0))*IFERROR(SEARCH("*FISCAL*",CG16,1)*(1-(CG17/CG9)),1)*(AVERAGEIF($C$22:$C$69,"*EFICIENCIA*",CG22:CG69)),"")</f>
        <v/>
      </c>
      <c r="CH74" s="1196" t="str">
        <f>IFERROR(INDEX(TablaMaxCalifPos[],MATCH(CH16,HALLAZGOS,0),MATCH($B$8,TablaMaxCalifPos[#Headers],0))*IFERROR(SEARCH("*FISCAL*",CH16,1)*(1-(CH17/CH9)),1)*(AVERAGEIF($C$22:$C$69,"*EFICIENCIA*",CH22:CH69)),"")</f>
        <v/>
      </c>
      <c r="CI74" s="1196" t="str">
        <f>IFERROR(INDEX(TablaMaxCalifPos[],MATCH(CI16,HALLAZGOS,0),MATCH($B$8,TablaMaxCalifPos[#Headers],0))*IFERROR(SEARCH("*FISCAL*",CI16,1)*(1-(CI17/CI9)),1)*(AVERAGEIF($C$22:$C$69,"*EFICIENCIA*",CI22:CI69)),"")</f>
        <v/>
      </c>
      <c r="CJ74" s="1196" t="str">
        <f>IFERROR(INDEX(TablaMaxCalifPos[],MATCH(CJ16,HALLAZGOS,0),MATCH($B$8,TablaMaxCalifPos[#Headers],0))*IFERROR(SEARCH("*FISCAL*",CJ16,1)*(1-(CJ17/CJ9)),1)*(AVERAGEIF($C$22:$C$69,"*EFICIENCIA*",CJ22:CJ69)),"")</f>
        <v/>
      </c>
      <c r="CK74" s="1196" t="str">
        <f>IFERROR(INDEX(TablaMaxCalifPos[],MATCH(CK16,HALLAZGOS,0),MATCH($B$8,TablaMaxCalifPos[#Headers],0))*IFERROR(SEARCH("*FISCAL*",CK16,1)*(1-(CK17/CK9)),1)*(AVERAGEIF($C$22:$C$69,"*EFICIENCIA*",CK22:CK69)),"")</f>
        <v/>
      </c>
      <c r="CL74" s="1196" t="str">
        <f>IFERROR(INDEX(TablaMaxCalifPos[],MATCH(CL16,HALLAZGOS,0),MATCH($B$8,TablaMaxCalifPos[#Headers],0))*IFERROR(SEARCH("*FISCAL*",CL16,1)*(1-(CL17/CL9)),1)*(AVERAGEIF($C$22:$C$69,"*EFICIENCIA*",CL22:CL69)),"")</f>
        <v/>
      </c>
      <c r="CM74" s="1196" t="str">
        <f>IFERROR(INDEX(TablaMaxCalifPos[],MATCH(CM16,HALLAZGOS,0),MATCH($B$8,TablaMaxCalifPos[#Headers],0))*IFERROR(SEARCH("*FISCAL*",CM16,1)*(1-(CM17/CM9)),1)*(AVERAGEIF($C$22:$C$69,"*EFICIENCIA*",CM22:CM69)),"")</f>
        <v/>
      </c>
      <c r="CN74" s="1196" t="str">
        <f>IFERROR(INDEX(TablaMaxCalifPos[],MATCH(CN16,HALLAZGOS,0),MATCH($B$8,TablaMaxCalifPos[#Headers],0))*IFERROR(SEARCH("*FISCAL*",CN16,1)*(1-(CN17/CN9)),1)*(AVERAGEIF($C$22:$C$69,"*EFICIENCIA*",CN22:CN69)),"")</f>
        <v/>
      </c>
      <c r="CO74" s="1196" t="str">
        <f>IFERROR(INDEX(TablaMaxCalifPos[],MATCH(CO16,HALLAZGOS,0),MATCH($B$8,TablaMaxCalifPos[#Headers],0))*IFERROR(SEARCH("*FISCAL*",CO16,1)*(1-(CO17/CO9)),1)*(AVERAGEIF($C$22:$C$69,"*EFICIENCIA*",CO22:CO69)),"")</f>
        <v/>
      </c>
      <c r="CP74" s="1196" t="str">
        <f>IFERROR(INDEX(TablaMaxCalifPos[],MATCH(CP16,HALLAZGOS,0),MATCH($B$8,TablaMaxCalifPos[#Headers],0))*IFERROR(SEARCH("*FISCAL*",CP16,1)*(1-(CP17/CP9)),1)*(AVERAGEIF($C$22:$C$69,"*EFICIENCIA*",CP22:CP69)),"")</f>
        <v/>
      </c>
      <c r="CQ74" s="1196" t="str">
        <f>IFERROR(INDEX(TablaMaxCalifPos[],MATCH(CQ16,HALLAZGOS,0),MATCH($B$8,TablaMaxCalifPos[#Headers],0))*IFERROR(SEARCH("*FISCAL*",CQ16,1)*(1-(CQ17/CQ9)),1)*(AVERAGEIF($C$22:$C$69,"*EFICIENCIA*",CQ22:CQ69)),"")</f>
        <v/>
      </c>
      <c r="CR74" s="1196" t="str">
        <f>IFERROR(INDEX(TablaMaxCalifPos[],MATCH(CR16,HALLAZGOS,0),MATCH($B$8,TablaMaxCalifPos[#Headers],0))*IFERROR(SEARCH("*FISCAL*",CR16,1)*(1-(CR17/CR9)),1)*(AVERAGEIF($C$22:$C$69,"*EFICIENCIA*",CR22:CR69)),"")</f>
        <v/>
      </c>
      <c r="CS74" s="1196" t="str">
        <f>IFERROR(INDEX(TablaMaxCalifPos[],MATCH(CS16,HALLAZGOS,0),MATCH($B$8,TablaMaxCalifPos[#Headers],0))*IFERROR(SEARCH("*FISCAL*",CS16,1)*(1-(CS17/CS9)),1)*(AVERAGEIF($C$22:$C$69,"*EFICIENCIA*",CS22:CS69)),"")</f>
        <v/>
      </c>
      <c r="CT74" s="1196" t="str">
        <f>IFERROR(INDEX(TablaMaxCalifPos[],MATCH(CT16,HALLAZGOS,0),MATCH($B$8,TablaMaxCalifPos[#Headers],0))*IFERROR(SEARCH("*FISCAL*",CT16,1)*(1-(CT17/CT9)),1)*(AVERAGEIF($C$22:$C$69,"*EFICIENCIA*",CT22:CT69)),"")</f>
        <v/>
      </c>
      <c r="CU74" s="1196" t="str">
        <f>IFERROR(INDEX(TablaMaxCalifPos[],MATCH(CU16,HALLAZGOS,0),MATCH($B$8,TablaMaxCalifPos[#Headers],0))*IFERROR(SEARCH("*FISCAL*",CU16,1)*(1-(CU17/CU9)),1)*(AVERAGEIF($C$22:$C$69,"*EFICIENCIA*",CU22:CU69)),"")</f>
        <v/>
      </c>
      <c r="CV74" s="1196" t="str">
        <f>IFERROR(INDEX(TablaMaxCalifPos[],MATCH(CV16,HALLAZGOS,0),MATCH($B$8,TablaMaxCalifPos[#Headers],0))*IFERROR(SEARCH("*FISCAL*",CV16,1)*(1-(CV17/CV9)),1)*(AVERAGEIF($C$22:$C$69,"*EFICIENCIA*",CV22:CV69)),"")</f>
        <v/>
      </c>
      <c r="CW74" s="1196" t="str">
        <f>IFERROR(INDEX(TablaMaxCalifPos[],MATCH(CW16,HALLAZGOS,0),MATCH($B$8,TablaMaxCalifPos[#Headers],0))*IFERROR(SEARCH("*FISCAL*",CW16,1)*(1-(CW17/CW9)),1)*(AVERAGEIF($C$22:$C$69,"*EFICIENCIA*",CW22:CW69)),"")</f>
        <v/>
      </c>
      <c r="CX74" s="1196" t="str">
        <f>IFERROR(INDEX(TablaMaxCalifPos[],MATCH(CX16,HALLAZGOS,0),MATCH($B$8,TablaMaxCalifPos[#Headers],0))*IFERROR(SEARCH("*FISCAL*",CX16,1)*(1-(CX17/CX9)),1)*(AVERAGEIF($C$22:$C$69,"*EFICIENCIA*",CX22:CX69)),"")</f>
        <v/>
      </c>
      <c r="CY74" s="1196" t="str">
        <f>IFERROR(INDEX(TablaMaxCalifPos[],MATCH(CY16,HALLAZGOS,0),MATCH($B$8,TablaMaxCalifPos[#Headers],0))*IFERROR(SEARCH("*FISCAL*",CY16,1)*(1-(CY17/CY9)),1)*(AVERAGEIF($C$22:$C$69,"*EFICIENCIA*",CY22:CY69)),"")</f>
        <v/>
      </c>
      <c r="CZ74" s="177" t="s">
        <v>274</v>
      </c>
    </row>
    <row r="75" spans="1:105" s="176" customFormat="1" ht="18" x14ac:dyDescent="0.25">
      <c r="C75" s="2537"/>
      <c r="D75" s="177"/>
      <c r="E75" s="178"/>
      <c r="F75" s="178"/>
      <c r="G75" s="178"/>
      <c r="H75" s="178"/>
      <c r="I75" s="178"/>
      <c r="J75" s="178"/>
      <c r="K75" s="178"/>
      <c r="L75" s="178"/>
      <c r="M75" s="178"/>
      <c r="N75" s="178"/>
      <c r="O75" s="178"/>
      <c r="P75" s="178"/>
      <c r="Q75" s="178"/>
      <c r="R75" s="178"/>
      <c r="S75" s="179"/>
      <c r="T75" s="179"/>
      <c r="U75" s="179"/>
      <c r="V75" s="179"/>
      <c r="W75" s="179"/>
      <c r="X75" s="179"/>
      <c r="Y75" s="179"/>
      <c r="Z75" s="179"/>
      <c r="AA75" s="179"/>
      <c r="AB75" s="179"/>
      <c r="AC75" s="179"/>
      <c r="AD75" s="179"/>
      <c r="AE75" s="179"/>
      <c r="AF75" s="179"/>
      <c r="AG75" s="179"/>
      <c r="AH75" s="179"/>
      <c r="AI75" s="179"/>
      <c r="AJ75" s="179"/>
      <c r="AK75" s="179"/>
      <c r="AL75" s="179"/>
      <c r="AM75" s="179"/>
      <c r="AN75" s="179"/>
      <c r="AO75" s="179"/>
      <c r="AP75" s="179"/>
      <c r="AQ75" s="179"/>
      <c r="AR75" s="179"/>
      <c r="AS75" s="179"/>
      <c r="AT75" s="179"/>
      <c r="AU75" s="179"/>
      <c r="AV75" s="179"/>
      <c r="AW75" s="179"/>
      <c r="AX75" s="179"/>
      <c r="AY75" s="179"/>
      <c r="AZ75" s="179"/>
      <c r="BA75" s="179"/>
      <c r="BB75" s="179"/>
      <c r="BC75" s="179"/>
      <c r="BD75" s="179"/>
      <c r="BE75" s="179"/>
      <c r="BF75" s="177"/>
      <c r="BG75" s="177"/>
      <c r="BH75" s="177"/>
      <c r="BI75" s="177"/>
      <c r="BJ75" s="177"/>
      <c r="BK75" s="177"/>
      <c r="BL75" s="177"/>
      <c r="BM75" s="177"/>
      <c r="BN75" s="177"/>
      <c r="BO75" s="177"/>
      <c r="BP75" s="177"/>
      <c r="BQ75" s="177"/>
      <c r="BR75" s="177"/>
      <c r="BS75" s="177"/>
      <c r="BT75" s="177"/>
      <c r="BU75" s="177"/>
      <c r="BV75" s="177"/>
      <c r="BW75" s="177"/>
      <c r="BX75" s="177"/>
      <c r="BY75" s="177"/>
      <c r="BZ75" s="177"/>
      <c r="CA75" s="177"/>
      <c r="CB75" s="177"/>
      <c r="CC75" s="177"/>
      <c r="CD75" s="177"/>
      <c r="CE75" s="177"/>
      <c r="CF75" s="177"/>
      <c r="CG75" s="177"/>
      <c r="CH75" s="177"/>
      <c r="CI75" s="177"/>
      <c r="CJ75" s="177"/>
      <c r="CK75" s="177"/>
      <c r="CL75" s="177"/>
      <c r="CM75" s="177"/>
      <c r="CN75" s="177"/>
      <c r="CO75" s="177"/>
      <c r="CP75" s="177"/>
      <c r="CQ75" s="177"/>
      <c r="CR75" s="177"/>
      <c r="CS75" s="177"/>
      <c r="CT75" s="177"/>
      <c r="CU75" s="177"/>
      <c r="CV75" s="177"/>
      <c r="CW75" s="177"/>
      <c r="CX75" s="177"/>
      <c r="CY75" s="177"/>
      <c r="CZ75" s="177"/>
    </row>
    <row r="76" spans="1:105" s="187" customFormat="1" ht="15" x14ac:dyDescent="0.25">
      <c r="C76" s="2543"/>
      <c r="D76" s="174" t="s">
        <v>275</v>
      </c>
      <c r="E76" s="182">
        <f t="shared" ref="E76:AJ76" si="3">IFERROR(E72*E15,"")</f>
        <v>5.7124547893505594E-2</v>
      </c>
      <c r="F76" s="182">
        <f t="shared" si="3"/>
        <v>8.4429310919929071E-3</v>
      </c>
      <c r="G76" s="182">
        <f t="shared" si="3"/>
        <v>3.2188896620358842E-2</v>
      </c>
      <c r="H76" s="182">
        <f t="shared" si="3"/>
        <v>0.24080654763390749</v>
      </c>
      <c r="I76" s="182">
        <f t="shared" si="3"/>
        <v>0.17455341802587093</v>
      </c>
      <c r="J76" s="182">
        <f t="shared" si="3"/>
        <v>6.9730987157439042E-2</v>
      </c>
      <c r="K76" s="182">
        <f t="shared" si="3"/>
        <v>0.14985104363216506</v>
      </c>
      <c r="L76" s="182" t="str">
        <f t="shared" si="3"/>
        <v/>
      </c>
      <c r="M76" s="182" t="str">
        <f t="shared" si="3"/>
        <v/>
      </c>
      <c r="N76" s="182" t="str">
        <f t="shared" si="3"/>
        <v/>
      </c>
      <c r="O76" s="182" t="str">
        <f t="shared" si="3"/>
        <v/>
      </c>
      <c r="P76" s="182" t="str">
        <f t="shared" si="3"/>
        <v/>
      </c>
      <c r="Q76" s="182" t="str">
        <f t="shared" si="3"/>
        <v/>
      </c>
      <c r="R76" s="182" t="str">
        <f t="shared" si="3"/>
        <v/>
      </c>
      <c r="S76" s="182" t="str">
        <f t="shared" si="3"/>
        <v/>
      </c>
      <c r="T76" s="182" t="str">
        <f t="shared" si="3"/>
        <v/>
      </c>
      <c r="U76" s="182" t="str">
        <f t="shared" si="3"/>
        <v/>
      </c>
      <c r="V76" s="182" t="str">
        <f t="shared" si="3"/>
        <v/>
      </c>
      <c r="W76" s="182" t="str">
        <f t="shared" si="3"/>
        <v/>
      </c>
      <c r="X76" s="182" t="str">
        <f t="shared" si="3"/>
        <v/>
      </c>
      <c r="Y76" s="182" t="str">
        <f t="shared" si="3"/>
        <v/>
      </c>
      <c r="Z76" s="182" t="str">
        <f t="shared" si="3"/>
        <v/>
      </c>
      <c r="AA76" s="182" t="str">
        <f t="shared" si="3"/>
        <v/>
      </c>
      <c r="AB76" s="182" t="str">
        <f t="shared" si="3"/>
        <v/>
      </c>
      <c r="AC76" s="182" t="str">
        <f t="shared" si="3"/>
        <v/>
      </c>
      <c r="AD76" s="182" t="str">
        <f t="shared" si="3"/>
        <v/>
      </c>
      <c r="AE76" s="182" t="str">
        <f t="shared" si="3"/>
        <v/>
      </c>
      <c r="AF76" s="182" t="str">
        <f t="shared" si="3"/>
        <v/>
      </c>
      <c r="AG76" s="182" t="str">
        <f t="shared" si="3"/>
        <v/>
      </c>
      <c r="AH76" s="182" t="str">
        <f t="shared" si="3"/>
        <v/>
      </c>
      <c r="AI76" s="182" t="str">
        <f t="shared" si="3"/>
        <v/>
      </c>
      <c r="AJ76" s="182" t="str">
        <f t="shared" si="3"/>
        <v/>
      </c>
      <c r="AK76" s="182" t="str">
        <f t="shared" ref="AK76:BP76" si="4">IFERROR(AK72*AK15,"")</f>
        <v/>
      </c>
      <c r="AL76" s="182" t="str">
        <f t="shared" si="4"/>
        <v/>
      </c>
      <c r="AM76" s="182" t="str">
        <f t="shared" si="4"/>
        <v/>
      </c>
      <c r="AN76" s="182" t="str">
        <f t="shared" si="4"/>
        <v/>
      </c>
      <c r="AO76" s="182" t="str">
        <f t="shared" si="4"/>
        <v/>
      </c>
      <c r="AP76" s="182" t="str">
        <f t="shared" si="4"/>
        <v/>
      </c>
      <c r="AQ76" s="182" t="str">
        <f t="shared" si="4"/>
        <v/>
      </c>
      <c r="AR76" s="182" t="str">
        <f t="shared" si="4"/>
        <v/>
      </c>
      <c r="AS76" s="182" t="str">
        <f t="shared" si="4"/>
        <v/>
      </c>
      <c r="AT76" s="182" t="str">
        <f t="shared" si="4"/>
        <v/>
      </c>
      <c r="AU76" s="182" t="str">
        <f t="shared" si="4"/>
        <v/>
      </c>
      <c r="AV76" s="182" t="str">
        <f t="shared" si="4"/>
        <v/>
      </c>
      <c r="AW76" s="182" t="str">
        <f t="shared" si="4"/>
        <v/>
      </c>
      <c r="AX76" s="182" t="str">
        <f t="shared" si="4"/>
        <v/>
      </c>
      <c r="AY76" s="182" t="str">
        <f t="shared" si="4"/>
        <v/>
      </c>
      <c r="AZ76" s="182" t="str">
        <f t="shared" si="4"/>
        <v/>
      </c>
      <c r="BA76" s="182" t="str">
        <f t="shared" si="4"/>
        <v/>
      </c>
      <c r="BB76" s="182" t="str">
        <f t="shared" si="4"/>
        <v/>
      </c>
      <c r="BC76" s="182" t="str">
        <f t="shared" si="4"/>
        <v/>
      </c>
      <c r="BD76" s="182" t="str">
        <f t="shared" si="4"/>
        <v/>
      </c>
      <c r="BE76" s="182" t="str">
        <f t="shared" si="4"/>
        <v/>
      </c>
      <c r="BF76" s="182" t="str">
        <f t="shared" si="4"/>
        <v/>
      </c>
      <c r="BG76" s="182" t="str">
        <f t="shared" si="4"/>
        <v/>
      </c>
      <c r="BH76" s="182" t="str">
        <f t="shared" si="4"/>
        <v/>
      </c>
      <c r="BI76" s="182" t="str">
        <f t="shared" si="4"/>
        <v/>
      </c>
      <c r="BJ76" s="182" t="str">
        <f t="shared" si="4"/>
        <v/>
      </c>
      <c r="BK76" s="182" t="str">
        <f t="shared" si="4"/>
        <v/>
      </c>
      <c r="BL76" s="182" t="str">
        <f t="shared" si="4"/>
        <v/>
      </c>
      <c r="BM76" s="182" t="str">
        <f t="shared" si="4"/>
        <v/>
      </c>
      <c r="BN76" s="182" t="str">
        <f t="shared" si="4"/>
        <v/>
      </c>
      <c r="BO76" s="182" t="str">
        <f t="shared" si="4"/>
        <v/>
      </c>
      <c r="BP76" s="182" t="str">
        <f t="shared" si="4"/>
        <v/>
      </c>
      <c r="BQ76" s="182" t="str">
        <f t="shared" ref="BQ76:CY76" si="5">IFERROR(BQ72*BQ15,"")</f>
        <v/>
      </c>
      <c r="BR76" s="182" t="str">
        <f t="shared" si="5"/>
        <v/>
      </c>
      <c r="BS76" s="182" t="str">
        <f t="shared" si="5"/>
        <v/>
      </c>
      <c r="BT76" s="182" t="str">
        <f t="shared" si="5"/>
        <v/>
      </c>
      <c r="BU76" s="182" t="str">
        <f t="shared" si="5"/>
        <v/>
      </c>
      <c r="BV76" s="182" t="str">
        <f t="shared" si="5"/>
        <v/>
      </c>
      <c r="BW76" s="182" t="str">
        <f t="shared" si="5"/>
        <v/>
      </c>
      <c r="BX76" s="182" t="str">
        <f t="shared" si="5"/>
        <v/>
      </c>
      <c r="BY76" s="182" t="str">
        <f t="shared" si="5"/>
        <v/>
      </c>
      <c r="BZ76" s="182" t="str">
        <f t="shared" si="5"/>
        <v/>
      </c>
      <c r="CA76" s="182" t="str">
        <f t="shared" si="5"/>
        <v/>
      </c>
      <c r="CB76" s="182" t="str">
        <f t="shared" si="5"/>
        <v/>
      </c>
      <c r="CC76" s="182" t="str">
        <f t="shared" si="5"/>
        <v/>
      </c>
      <c r="CD76" s="182" t="str">
        <f t="shared" si="5"/>
        <v/>
      </c>
      <c r="CE76" s="182" t="str">
        <f t="shared" si="5"/>
        <v/>
      </c>
      <c r="CF76" s="182" t="str">
        <f t="shared" si="5"/>
        <v/>
      </c>
      <c r="CG76" s="182" t="str">
        <f t="shared" si="5"/>
        <v/>
      </c>
      <c r="CH76" s="182" t="str">
        <f t="shared" si="5"/>
        <v/>
      </c>
      <c r="CI76" s="182" t="str">
        <f t="shared" si="5"/>
        <v/>
      </c>
      <c r="CJ76" s="182" t="str">
        <f t="shared" si="5"/>
        <v/>
      </c>
      <c r="CK76" s="182" t="str">
        <f t="shared" si="5"/>
        <v/>
      </c>
      <c r="CL76" s="182" t="str">
        <f t="shared" si="5"/>
        <v/>
      </c>
      <c r="CM76" s="182" t="str">
        <f t="shared" si="5"/>
        <v/>
      </c>
      <c r="CN76" s="182" t="str">
        <f t="shared" si="5"/>
        <v/>
      </c>
      <c r="CO76" s="182" t="str">
        <f t="shared" si="5"/>
        <v/>
      </c>
      <c r="CP76" s="182" t="str">
        <f t="shared" si="5"/>
        <v/>
      </c>
      <c r="CQ76" s="182" t="str">
        <f t="shared" si="5"/>
        <v/>
      </c>
      <c r="CR76" s="182" t="str">
        <f t="shared" si="5"/>
        <v/>
      </c>
      <c r="CS76" s="182" t="str">
        <f t="shared" si="5"/>
        <v/>
      </c>
      <c r="CT76" s="182" t="str">
        <f t="shared" si="5"/>
        <v/>
      </c>
      <c r="CU76" s="182" t="str">
        <f t="shared" si="5"/>
        <v/>
      </c>
      <c r="CV76" s="182" t="str">
        <f t="shared" si="5"/>
        <v/>
      </c>
      <c r="CW76" s="182" t="str">
        <f t="shared" si="5"/>
        <v/>
      </c>
      <c r="CX76" s="182" t="str">
        <f t="shared" si="5"/>
        <v/>
      </c>
      <c r="CY76" s="182" t="str">
        <f t="shared" si="5"/>
        <v/>
      </c>
      <c r="CZ76" s="183">
        <f>IFERROR(SUM(E76:CY76)/SUMIF(E76:CY76,"&gt;=0",E15:CY15),"")</f>
        <v>0.73269837205523991</v>
      </c>
      <c r="DA76" s="2544"/>
    </row>
    <row r="77" spans="1:105" s="187" customFormat="1" ht="15" x14ac:dyDescent="0.25">
      <c r="C77" s="2543"/>
      <c r="D77" s="174" t="s">
        <v>276</v>
      </c>
      <c r="E77" s="182">
        <f t="shared" ref="E77:AJ77" si="6">IFERROR(E73*E15,"")</f>
        <v>5.7648626314546932E-2</v>
      </c>
      <c r="F77" s="182">
        <f t="shared" si="6"/>
        <v>8.0159042304036709E-3</v>
      </c>
      <c r="G77" s="182">
        <f t="shared" si="6"/>
        <v>3.3812840954358929E-2</v>
      </c>
      <c r="H77" s="182">
        <f t="shared" si="6"/>
        <v>0.22182532564394067</v>
      </c>
      <c r="I77" s="182">
        <f t="shared" si="6"/>
        <v>0.17237150030054754</v>
      </c>
      <c r="J77" s="182">
        <f t="shared" si="6"/>
        <v>7.5986615682192268E-2</v>
      </c>
      <c r="K77" s="182">
        <f t="shared" si="6"/>
        <v>0.1629380347760408</v>
      </c>
      <c r="L77" s="182" t="str">
        <f t="shared" si="6"/>
        <v/>
      </c>
      <c r="M77" s="182" t="str">
        <f t="shared" si="6"/>
        <v/>
      </c>
      <c r="N77" s="182" t="str">
        <f t="shared" si="6"/>
        <v/>
      </c>
      <c r="O77" s="182" t="str">
        <f t="shared" si="6"/>
        <v/>
      </c>
      <c r="P77" s="182" t="str">
        <f t="shared" si="6"/>
        <v/>
      </c>
      <c r="Q77" s="182" t="str">
        <f t="shared" si="6"/>
        <v/>
      </c>
      <c r="R77" s="182" t="str">
        <f t="shared" si="6"/>
        <v/>
      </c>
      <c r="S77" s="182" t="str">
        <f t="shared" si="6"/>
        <v/>
      </c>
      <c r="T77" s="182" t="str">
        <f t="shared" si="6"/>
        <v/>
      </c>
      <c r="U77" s="182" t="str">
        <f t="shared" si="6"/>
        <v/>
      </c>
      <c r="V77" s="182" t="str">
        <f t="shared" si="6"/>
        <v/>
      </c>
      <c r="W77" s="182" t="str">
        <f t="shared" si="6"/>
        <v/>
      </c>
      <c r="X77" s="182" t="str">
        <f t="shared" si="6"/>
        <v/>
      </c>
      <c r="Y77" s="182" t="str">
        <f t="shared" si="6"/>
        <v/>
      </c>
      <c r="Z77" s="182" t="str">
        <f t="shared" si="6"/>
        <v/>
      </c>
      <c r="AA77" s="182" t="str">
        <f t="shared" si="6"/>
        <v/>
      </c>
      <c r="AB77" s="182" t="str">
        <f t="shared" si="6"/>
        <v/>
      </c>
      <c r="AC77" s="182" t="str">
        <f t="shared" si="6"/>
        <v/>
      </c>
      <c r="AD77" s="182" t="str">
        <f t="shared" si="6"/>
        <v/>
      </c>
      <c r="AE77" s="182" t="str">
        <f t="shared" si="6"/>
        <v/>
      </c>
      <c r="AF77" s="182" t="str">
        <f t="shared" si="6"/>
        <v/>
      </c>
      <c r="AG77" s="182" t="str">
        <f t="shared" si="6"/>
        <v/>
      </c>
      <c r="AH77" s="182" t="str">
        <f t="shared" si="6"/>
        <v/>
      </c>
      <c r="AI77" s="182" t="str">
        <f t="shared" si="6"/>
        <v/>
      </c>
      <c r="AJ77" s="182" t="str">
        <f t="shared" si="6"/>
        <v/>
      </c>
      <c r="AK77" s="182" t="str">
        <f t="shared" ref="AK77:BP77" si="7">IFERROR(AK73*AK15,"")</f>
        <v/>
      </c>
      <c r="AL77" s="182" t="str">
        <f t="shared" si="7"/>
        <v/>
      </c>
      <c r="AM77" s="182" t="str">
        <f t="shared" si="7"/>
        <v/>
      </c>
      <c r="AN77" s="182" t="str">
        <f t="shared" si="7"/>
        <v/>
      </c>
      <c r="AO77" s="182" t="str">
        <f t="shared" si="7"/>
        <v/>
      </c>
      <c r="AP77" s="182" t="str">
        <f t="shared" si="7"/>
        <v/>
      </c>
      <c r="AQ77" s="182" t="str">
        <f t="shared" si="7"/>
        <v/>
      </c>
      <c r="AR77" s="182" t="str">
        <f t="shared" si="7"/>
        <v/>
      </c>
      <c r="AS77" s="182" t="str">
        <f t="shared" si="7"/>
        <v/>
      </c>
      <c r="AT77" s="182" t="str">
        <f t="shared" si="7"/>
        <v/>
      </c>
      <c r="AU77" s="182" t="str">
        <f t="shared" si="7"/>
        <v/>
      </c>
      <c r="AV77" s="182" t="str">
        <f t="shared" si="7"/>
        <v/>
      </c>
      <c r="AW77" s="182" t="str">
        <f t="shared" si="7"/>
        <v/>
      </c>
      <c r="AX77" s="182" t="str">
        <f t="shared" si="7"/>
        <v/>
      </c>
      <c r="AY77" s="182" t="str">
        <f t="shared" si="7"/>
        <v/>
      </c>
      <c r="AZ77" s="182" t="str">
        <f t="shared" si="7"/>
        <v/>
      </c>
      <c r="BA77" s="182" t="str">
        <f t="shared" si="7"/>
        <v/>
      </c>
      <c r="BB77" s="182" t="str">
        <f t="shared" si="7"/>
        <v/>
      </c>
      <c r="BC77" s="182" t="str">
        <f t="shared" si="7"/>
        <v/>
      </c>
      <c r="BD77" s="182" t="str">
        <f t="shared" si="7"/>
        <v/>
      </c>
      <c r="BE77" s="182" t="str">
        <f t="shared" si="7"/>
        <v/>
      </c>
      <c r="BF77" s="182" t="str">
        <f t="shared" si="7"/>
        <v/>
      </c>
      <c r="BG77" s="182" t="str">
        <f t="shared" si="7"/>
        <v/>
      </c>
      <c r="BH77" s="182" t="str">
        <f t="shared" si="7"/>
        <v/>
      </c>
      <c r="BI77" s="182" t="str">
        <f t="shared" si="7"/>
        <v/>
      </c>
      <c r="BJ77" s="182" t="str">
        <f t="shared" si="7"/>
        <v/>
      </c>
      <c r="BK77" s="182" t="str">
        <f t="shared" si="7"/>
        <v/>
      </c>
      <c r="BL77" s="182" t="str">
        <f t="shared" si="7"/>
        <v/>
      </c>
      <c r="BM77" s="182" t="str">
        <f t="shared" si="7"/>
        <v/>
      </c>
      <c r="BN77" s="182" t="str">
        <f t="shared" si="7"/>
        <v/>
      </c>
      <c r="BO77" s="182" t="str">
        <f t="shared" si="7"/>
        <v/>
      </c>
      <c r="BP77" s="182" t="str">
        <f t="shared" si="7"/>
        <v/>
      </c>
      <c r="BQ77" s="182" t="str">
        <f t="shared" ref="BQ77:CY77" si="8">IFERROR(BQ73*BQ15,"")</f>
        <v/>
      </c>
      <c r="BR77" s="182" t="str">
        <f t="shared" si="8"/>
        <v/>
      </c>
      <c r="BS77" s="182" t="str">
        <f t="shared" si="8"/>
        <v/>
      </c>
      <c r="BT77" s="182" t="str">
        <f t="shared" si="8"/>
        <v/>
      </c>
      <c r="BU77" s="182" t="str">
        <f t="shared" si="8"/>
        <v/>
      </c>
      <c r="BV77" s="182" t="str">
        <f t="shared" si="8"/>
        <v/>
      </c>
      <c r="BW77" s="182" t="str">
        <f t="shared" si="8"/>
        <v/>
      </c>
      <c r="BX77" s="182" t="str">
        <f t="shared" si="8"/>
        <v/>
      </c>
      <c r="BY77" s="182" t="str">
        <f t="shared" si="8"/>
        <v/>
      </c>
      <c r="BZ77" s="182" t="str">
        <f t="shared" si="8"/>
        <v/>
      </c>
      <c r="CA77" s="182" t="str">
        <f t="shared" si="8"/>
        <v/>
      </c>
      <c r="CB77" s="182" t="str">
        <f t="shared" si="8"/>
        <v/>
      </c>
      <c r="CC77" s="182" t="str">
        <f t="shared" si="8"/>
        <v/>
      </c>
      <c r="CD77" s="182" t="str">
        <f t="shared" si="8"/>
        <v/>
      </c>
      <c r="CE77" s="182" t="str">
        <f t="shared" si="8"/>
        <v/>
      </c>
      <c r="CF77" s="182" t="str">
        <f t="shared" si="8"/>
        <v/>
      </c>
      <c r="CG77" s="182" t="str">
        <f t="shared" si="8"/>
        <v/>
      </c>
      <c r="CH77" s="182" t="str">
        <f t="shared" si="8"/>
        <v/>
      </c>
      <c r="CI77" s="182" t="str">
        <f t="shared" si="8"/>
        <v/>
      </c>
      <c r="CJ77" s="182" t="str">
        <f t="shared" si="8"/>
        <v/>
      </c>
      <c r="CK77" s="182" t="str">
        <f t="shared" si="8"/>
        <v/>
      </c>
      <c r="CL77" s="182" t="str">
        <f t="shared" si="8"/>
        <v/>
      </c>
      <c r="CM77" s="182" t="str">
        <f t="shared" si="8"/>
        <v/>
      </c>
      <c r="CN77" s="182" t="str">
        <f t="shared" si="8"/>
        <v/>
      </c>
      <c r="CO77" s="182" t="str">
        <f t="shared" si="8"/>
        <v/>
      </c>
      <c r="CP77" s="182" t="str">
        <f t="shared" si="8"/>
        <v/>
      </c>
      <c r="CQ77" s="182" t="str">
        <f t="shared" si="8"/>
        <v/>
      </c>
      <c r="CR77" s="182" t="str">
        <f t="shared" si="8"/>
        <v/>
      </c>
      <c r="CS77" s="182" t="str">
        <f t="shared" si="8"/>
        <v/>
      </c>
      <c r="CT77" s="182" t="str">
        <f t="shared" si="8"/>
        <v/>
      </c>
      <c r="CU77" s="182" t="str">
        <f t="shared" si="8"/>
        <v/>
      </c>
      <c r="CV77" s="182" t="str">
        <f t="shared" si="8"/>
        <v/>
      </c>
      <c r="CW77" s="182" t="str">
        <f t="shared" si="8"/>
        <v/>
      </c>
      <c r="CX77" s="182" t="str">
        <f t="shared" si="8"/>
        <v/>
      </c>
      <c r="CY77" s="182" t="str">
        <f t="shared" si="8"/>
        <v/>
      </c>
      <c r="CZ77" s="183">
        <f>IFERROR(SUM(E77:CY77)/SUMIF(E77:CY77,"&gt;=0",E15:CY15),"")</f>
        <v>0.73259884790203089</v>
      </c>
    </row>
    <row r="78" spans="1:105" s="187" customFormat="1" ht="15" x14ac:dyDescent="0.25">
      <c r="C78" s="2543"/>
      <c r="D78" s="174" t="s">
        <v>277</v>
      </c>
      <c r="E78" s="182">
        <f t="shared" ref="E78:AJ78" si="9">IFERROR(E74*E15,"")</f>
        <v>5.6207410656683263E-2</v>
      </c>
      <c r="F78" s="182">
        <f t="shared" si="9"/>
        <v>7.6425607456999381E-3</v>
      </c>
      <c r="G78" s="182">
        <f t="shared" si="9"/>
        <v>3.2536884691930293E-2</v>
      </c>
      <c r="H78" s="182">
        <f t="shared" si="9"/>
        <v>0.24859734770441627</v>
      </c>
      <c r="I78" s="182">
        <f t="shared" si="9"/>
        <v>0.16582574712457737</v>
      </c>
      <c r="J78" s="182">
        <f t="shared" si="9"/>
        <v>7.4356001611758954E-2</v>
      </c>
      <c r="K78" s="182">
        <f t="shared" si="9"/>
        <v>0.15291466496864486</v>
      </c>
      <c r="L78" s="182" t="str">
        <f t="shared" si="9"/>
        <v/>
      </c>
      <c r="M78" s="182" t="str">
        <f t="shared" si="9"/>
        <v/>
      </c>
      <c r="N78" s="182" t="str">
        <f t="shared" si="9"/>
        <v/>
      </c>
      <c r="O78" s="182" t="str">
        <f t="shared" si="9"/>
        <v/>
      </c>
      <c r="P78" s="182" t="str">
        <f t="shared" si="9"/>
        <v/>
      </c>
      <c r="Q78" s="182" t="str">
        <f t="shared" si="9"/>
        <v/>
      </c>
      <c r="R78" s="182" t="str">
        <f t="shared" si="9"/>
        <v/>
      </c>
      <c r="S78" s="182" t="str">
        <f t="shared" si="9"/>
        <v/>
      </c>
      <c r="T78" s="182" t="str">
        <f t="shared" si="9"/>
        <v/>
      </c>
      <c r="U78" s="182" t="str">
        <f t="shared" si="9"/>
        <v/>
      </c>
      <c r="V78" s="182" t="str">
        <f t="shared" si="9"/>
        <v/>
      </c>
      <c r="W78" s="182" t="str">
        <f t="shared" si="9"/>
        <v/>
      </c>
      <c r="X78" s="182" t="str">
        <f t="shared" si="9"/>
        <v/>
      </c>
      <c r="Y78" s="182" t="str">
        <f t="shared" si="9"/>
        <v/>
      </c>
      <c r="Z78" s="182" t="str">
        <f t="shared" si="9"/>
        <v/>
      </c>
      <c r="AA78" s="182" t="str">
        <f t="shared" si="9"/>
        <v/>
      </c>
      <c r="AB78" s="182" t="str">
        <f t="shared" si="9"/>
        <v/>
      </c>
      <c r="AC78" s="182" t="str">
        <f t="shared" si="9"/>
        <v/>
      </c>
      <c r="AD78" s="182" t="str">
        <f t="shared" si="9"/>
        <v/>
      </c>
      <c r="AE78" s="182" t="str">
        <f t="shared" si="9"/>
        <v/>
      </c>
      <c r="AF78" s="182" t="str">
        <f t="shared" si="9"/>
        <v/>
      </c>
      <c r="AG78" s="182" t="str">
        <f t="shared" si="9"/>
        <v/>
      </c>
      <c r="AH78" s="182" t="str">
        <f t="shared" si="9"/>
        <v/>
      </c>
      <c r="AI78" s="182" t="str">
        <f t="shared" si="9"/>
        <v/>
      </c>
      <c r="AJ78" s="182" t="str">
        <f t="shared" si="9"/>
        <v/>
      </c>
      <c r="AK78" s="182" t="str">
        <f t="shared" ref="AK78:BP78" si="10">IFERROR(AK74*AK15,"")</f>
        <v/>
      </c>
      <c r="AL78" s="182" t="str">
        <f t="shared" si="10"/>
        <v/>
      </c>
      <c r="AM78" s="182" t="str">
        <f t="shared" si="10"/>
        <v/>
      </c>
      <c r="AN78" s="182" t="str">
        <f t="shared" si="10"/>
        <v/>
      </c>
      <c r="AO78" s="182" t="str">
        <f t="shared" si="10"/>
        <v/>
      </c>
      <c r="AP78" s="182" t="str">
        <f t="shared" si="10"/>
        <v/>
      </c>
      <c r="AQ78" s="182" t="str">
        <f t="shared" si="10"/>
        <v/>
      </c>
      <c r="AR78" s="182" t="str">
        <f t="shared" si="10"/>
        <v/>
      </c>
      <c r="AS78" s="182" t="str">
        <f t="shared" si="10"/>
        <v/>
      </c>
      <c r="AT78" s="182" t="str">
        <f t="shared" si="10"/>
        <v/>
      </c>
      <c r="AU78" s="182" t="str">
        <f t="shared" si="10"/>
        <v/>
      </c>
      <c r="AV78" s="182" t="str">
        <f t="shared" si="10"/>
        <v/>
      </c>
      <c r="AW78" s="182" t="str">
        <f t="shared" si="10"/>
        <v/>
      </c>
      <c r="AX78" s="182" t="str">
        <f t="shared" si="10"/>
        <v/>
      </c>
      <c r="AY78" s="182" t="str">
        <f t="shared" si="10"/>
        <v/>
      </c>
      <c r="AZ78" s="182" t="str">
        <f t="shared" si="10"/>
        <v/>
      </c>
      <c r="BA78" s="182" t="str">
        <f t="shared" si="10"/>
        <v/>
      </c>
      <c r="BB78" s="182" t="str">
        <f t="shared" si="10"/>
        <v/>
      </c>
      <c r="BC78" s="182" t="str">
        <f t="shared" si="10"/>
        <v/>
      </c>
      <c r="BD78" s="182" t="str">
        <f t="shared" si="10"/>
        <v/>
      </c>
      <c r="BE78" s="182" t="str">
        <f t="shared" si="10"/>
        <v/>
      </c>
      <c r="BF78" s="182" t="str">
        <f t="shared" si="10"/>
        <v/>
      </c>
      <c r="BG78" s="182" t="str">
        <f t="shared" si="10"/>
        <v/>
      </c>
      <c r="BH78" s="182" t="str">
        <f t="shared" si="10"/>
        <v/>
      </c>
      <c r="BI78" s="182" t="str">
        <f t="shared" si="10"/>
        <v/>
      </c>
      <c r="BJ78" s="182" t="str">
        <f t="shared" si="10"/>
        <v/>
      </c>
      <c r="BK78" s="182" t="str">
        <f t="shared" si="10"/>
        <v/>
      </c>
      <c r="BL78" s="182" t="str">
        <f t="shared" si="10"/>
        <v/>
      </c>
      <c r="BM78" s="182" t="str">
        <f t="shared" si="10"/>
        <v/>
      </c>
      <c r="BN78" s="182" t="str">
        <f t="shared" si="10"/>
        <v/>
      </c>
      <c r="BO78" s="182" t="str">
        <f t="shared" si="10"/>
        <v/>
      </c>
      <c r="BP78" s="182" t="str">
        <f t="shared" si="10"/>
        <v/>
      </c>
      <c r="BQ78" s="182" t="str">
        <f t="shared" ref="BQ78:CY78" si="11">IFERROR(BQ74*BQ15,"")</f>
        <v/>
      </c>
      <c r="BR78" s="182" t="str">
        <f t="shared" si="11"/>
        <v/>
      </c>
      <c r="BS78" s="182" t="str">
        <f t="shared" si="11"/>
        <v/>
      </c>
      <c r="BT78" s="182" t="str">
        <f t="shared" si="11"/>
        <v/>
      </c>
      <c r="BU78" s="182" t="str">
        <f t="shared" si="11"/>
        <v/>
      </c>
      <c r="BV78" s="182" t="str">
        <f t="shared" si="11"/>
        <v/>
      </c>
      <c r="BW78" s="182" t="str">
        <f t="shared" si="11"/>
        <v/>
      </c>
      <c r="BX78" s="182" t="str">
        <f t="shared" si="11"/>
        <v/>
      </c>
      <c r="BY78" s="182" t="str">
        <f t="shared" si="11"/>
        <v/>
      </c>
      <c r="BZ78" s="182" t="str">
        <f t="shared" si="11"/>
        <v/>
      </c>
      <c r="CA78" s="182" t="str">
        <f t="shared" si="11"/>
        <v/>
      </c>
      <c r="CB78" s="182" t="str">
        <f t="shared" si="11"/>
        <v/>
      </c>
      <c r="CC78" s="182" t="str">
        <f t="shared" si="11"/>
        <v/>
      </c>
      <c r="CD78" s="182" t="str">
        <f t="shared" si="11"/>
        <v/>
      </c>
      <c r="CE78" s="182" t="str">
        <f t="shared" si="11"/>
        <v/>
      </c>
      <c r="CF78" s="182" t="str">
        <f t="shared" si="11"/>
        <v/>
      </c>
      <c r="CG78" s="182" t="str">
        <f t="shared" si="11"/>
        <v/>
      </c>
      <c r="CH78" s="182" t="str">
        <f t="shared" si="11"/>
        <v/>
      </c>
      <c r="CI78" s="182" t="str">
        <f t="shared" si="11"/>
        <v/>
      </c>
      <c r="CJ78" s="182" t="str">
        <f t="shared" si="11"/>
        <v/>
      </c>
      <c r="CK78" s="182" t="str">
        <f t="shared" si="11"/>
        <v/>
      </c>
      <c r="CL78" s="182" t="str">
        <f t="shared" si="11"/>
        <v/>
      </c>
      <c r="CM78" s="182" t="str">
        <f t="shared" si="11"/>
        <v/>
      </c>
      <c r="CN78" s="182" t="str">
        <f t="shared" si="11"/>
        <v/>
      </c>
      <c r="CO78" s="182" t="str">
        <f t="shared" si="11"/>
        <v/>
      </c>
      <c r="CP78" s="182" t="str">
        <f t="shared" si="11"/>
        <v/>
      </c>
      <c r="CQ78" s="182" t="str">
        <f t="shared" si="11"/>
        <v/>
      </c>
      <c r="CR78" s="182" t="str">
        <f t="shared" si="11"/>
        <v/>
      </c>
      <c r="CS78" s="182" t="str">
        <f t="shared" si="11"/>
        <v/>
      </c>
      <c r="CT78" s="182" t="str">
        <f t="shared" si="11"/>
        <v/>
      </c>
      <c r="CU78" s="182" t="str">
        <f t="shared" si="11"/>
        <v/>
      </c>
      <c r="CV78" s="182" t="str">
        <f t="shared" si="11"/>
        <v/>
      </c>
      <c r="CW78" s="182" t="str">
        <f t="shared" si="11"/>
        <v/>
      </c>
      <c r="CX78" s="182" t="str">
        <f t="shared" si="11"/>
        <v/>
      </c>
      <c r="CY78" s="182" t="str">
        <f t="shared" si="11"/>
        <v/>
      </c>
      <c r="CZ78" s="183">
        <f>IFERROR(SUM(E78:CY78)/SUMIF(E78:CY78,"&gt;=0",E15:CY15),"")</f>
        <v>0.7380806175037109</v>
      </c>
    </row>
    <row r="79" spans="1:105" s="176" customFormat="1" ht="18" x14ac:dyDescent="0.25">
      <c r="C79" s="2537"/>
      <c r="D79" s="174" t="s">
        <v>278</v>
      </c>
      <c r="E79" s="175">
        <f t="shared" ref="E79:AJ79" si="12">IFERROR(AVERAGE(E72:E73)*E15,"")</f>
        <v>5.7386587104026263E-2</v>
      </c>
      <c r="F79" s="175">
        <f t="shared" si="12"/>
        <v>8.2294176611982899E-3</v>
      </c>
      <c r="G79" s="175">
        <f t="shared" si="12"/>
        <v>3.3000868787358889E-2</v>
      </c>
      <c r="H79" s="175">
        <f t="shared" si="12"/>
        <v>0.23131593663892408</v>
      </c>
      <c r="I79" s="175">
        <f t="shared" si="12"/>
        <v>0.17346245916320924</v>
      </c>
      <c r="J79" s="175">
        <f t="shared" si="12"/>
        <v>7.2858801419815655E-2</v>
      </c>
      <c r="K79" s="175">
        <f t="shared" si="12"/>
        <v>0.15639453920410293</v>
      </c>
      <c r="L79" s="175" t="str">
        <f t="shared" si="12"/>
        <v/>
      </c>
      <c r="M79" s="175" t="str">
        <f t="shared" si="12"/>
        <v/>
      </c>
      <c r="N79" s="175" t="str">
        <f t="shared" si="12"/>
        <v/>
      </c>
      <c r="O79" s="175" t="str">
        <f t="shared" si="12"/>
        <v/>
      </c>
      <c r="P79" s="175" t="str">
        <f t="shared" si="12"/>
        <v/>
      </c>
      <c r="Q79" s="175" t="str">
        <f t="shared" si="12"/>
        <v/>
      </c>
      <c r="R79" s="175" t="str">
        <f t="shared" si="12"/>
        <v/>
      </c>
      <c r="S79" s="175" t="str">
        <f t="shared" si="12"/>
        <v/>
      </c>
      <c r="T79" s="175" t="str">
        <f t="shared" si="12"/>
        <v/>
      </c>
      <c r="U79" s="175" t="str">
        <f t="shared" si="12"/>
        <v/>
      </c>
      <c r="V79" s="175" t="str">
        <f t="shared" si="12"/>
        <v/>
      </c>
      <c r="W79" s="175" t="str">
        <f t="shared" si="12"/>
        <v/>
      </c>
      <c r="X79" s="175" t="str">
        <f t="shared" si="12"/>
        <v/>
      </c>
      <c r="Y79" s="175" t="str">
        <f t="shared" si="12"/>
        <v/>
      </c>
      <c r="Z79" s="175" t="str">
        <f t="shared" si="12"/>
        <v/>
      </c>
      <c r="AA79" s="175" t="str">
        <f t="shared" si="12"/>
        <v/>
      </c>
      <c r="AB79" s="175" t="str">
        <f t="shared" si="12"/>
        <v/>
      </c>
      <c r="AC79" s="175" t="str">
        <f t="shared" si="12"/>
        <v/>
      </c>
      <c r="AD79" s="175" t="str">
        <f t="shared" si="12"/>
        <v/>
      </c>
      <c r="AE79" s="175" t="str">
        <f t="shared" si="12"/>
        <v/>
      </c>
      <c r="AF79" s="175" t="str">
        <f t="shared" si="12"/>
        <v/>
      </c>
      <c r="AG79" s="175" t="str">
        <f t="shared" si="12"/>
        <v/>
      </c>
      <c r="AH79" s="175" t="str">
        <f t="shared" si="12"/>
        <v/>
      </c>
      <c r="AI79" s="175" t="str">
        <f t="shared" si="12"/>
        <v/>
      </c>
      <c r="AJ79" s="175" t="str">
        <f t="shared" si="12"/>
        <v/>
      </c>
      <c r="AK79" s="175" t="str">
        <f t="shared" ref="AK79:BP79" si="13">IFERROR(AVERAGE(AK72:AK73)*AK15,"")</f>
        <v/>
      </c>
      <c r="AL79" s="175" t="str">
        <f t="shared" si="13"/>
        <v/>
      </c>
      <c r="AM79" s="175" t="str">
        <f t="shared" si="13"/>
        <v/>
      </c>
      <c r="AN79" s="175" t="str">
        <f t="shared" si="13"/>
        <v/>
      </c>
      <c r="AO79" s="175" t="str">
        <f t="shared" si="13"/>
        <v/>
      </c>
      <c r="AP79" s="175" t="str">
        <f t="shared" si="13"/>
        <v/>
      </c>
      <c r="AQ79" s="175" t="str">
        <f t="shared" si="13"/>
        <v/>
      </c>
      <c r="AR79" s="175" t="str">
        <f t="shared" si="13"/>
        <v/>
      </c>
      <c r="AS79" s="175" t="str">
        <f t="shared" si="13"/>
        <v/>
      </c>
      <c r="AT79" s="175" t="str">
        <f t="shared" si="13"/>
        <v/>
      </c>
      <c r="AU79" s="175" t="str">
        <f t="shared" si="13"/>
        <v/>
      </c>
      <c r="AV79" s="175" t="str">
        <f t="shared" si="13"/>
        <v/>
      </c>
      <c r="AW79" s="175" t="str">
        <f t="shared" si="13"/>
        <v/>
      </c>
      <c r="AX79" s="175" t="str">
        <f t="shared" si="13"/>
        <v/>
      </c>
      <c r="AY79" s="175" t="str">
        <f t="shared" si="13"/>
        <v/>
      </c>
      <c r="AZ79" s="175" t="str">
        <f t="shared" si="13"/>
        <v/>
      </c>
      <c r="BA79" s="175" t="str">
        <f t="shared" si="13"/>
        <v/>
      </c>
      <c r="BB79" s="175" t="str">
        <f t="shared" si="13"/>
        <v/>
      </c>
      <c r="BC79" s="175" t="str">
        <f t="shared" si="13"/>
        <v/>
      </c>
      <c r="BD79" s="175" t="str">
        <f t="shared" si="13"/>
        <v/>
      </c>
      <c r="BE79" s="175" t="str">
        <f t="shared" si="13"/>
        <v/>
      </c>
      <c r="BF79" s="175" t="str">
        <f t="shared" si="13"/>
        <v/>
      </c>
      <c r="BG79" s="175" t="str">
        <f t="shared" si="13"/>
        <v/>
      </c>
      <c r="BH79" s="175" t="str">
        <f t="shared" si="13"/>
        <v/>
      </c>
      <c r="BI79" s="175" t="str">
        <f t="shared" si="13"/>
        <v/>
      </c>
      <c r="BJ79" s="175" t="str">
        <f t="shared" si="13"/>
        <v/>
      </c>
      <c r="BK79" s="175" t="str">
        <f t="shared" si="13"/>
        <v/>
      </c>
      <c r="BL79" s="175" t="str">
        <f t="shared" si="13"/>
        <v/>
      </c>
      <c r="BM79" s="175" t="str">
        <f t="shared" si="13"/>
        <v/>
      </c>
      <c r="BN79" s="175" t="str">
        <f t="shared" si="13"/>
        <v/>
      </c>
      <c r="BO79" s="175" t="str">
        <f t="shared" si="13"/>
        <v/>
      </c>
      <c r="BP79" s="175" t="str">
        <f t="shared" si="13"/>
        <v/>
      </c>
      <c r="BQ79" s="175" t="str">
        <f t="shared" ref="BQ79:CY79" si="14">IFERROR(AVERAGE(BQ72:BQ73)*BQ15,"")</f>
        <v/>
      </c>
      <c r="BR79" s="175" t="str">
        <f t="shared" si="14"/>
        <v/>
      </c>
      <c r="BS79" s="175" t="str">
        <f t="shared" si="14"/>
        <v/>
      </c>
      <c r="BT79" s="175" t="str">
        <f t="shared" si="14"/>
        <v/>
      </c>
      <c r="BU79" s="175" t="str">
        <f t="shared" si="14"/>
        <v/>
      </c>
      <c r="BV79" s="175" t="str">
        <f t="shared" si="14"/>
        <v/>
      </c>
      <c r="BW79" s="175" t="str">
        <f t="shared" si="14"/>
        <v/>
      </c>
      <c r="BX79" s="175" t="str">
        <f t="shared" si="14"/>
        <v/>
      </c>
      <c r="BY79" s="175" t="str">
        <f t="shared" si="14"/>
        <v/>
      </c>
      <c r="BZ79" s="175" t="str">
        <f t="shared" si="14"/>
        <v/>
      </c>
      <c r="CA79" s="175" t="str">
        <f t="shared" si="14"/>
        <v/>
      </c>
      <c r="CB79" s="175" t="str">
        <f t="shared" si="14"/>
        <v/>
      </c>
      <c r="CC79" s="175" t="str">
        <f t="shared" si="14"/>
        <v/>
      </c>
      <c r="CD79" s="175" t="str">
        <f t="shared" si="14"/>
        <v/>
      </c>
      <c r="CE79" s="175" t="str">
        <f t="shared" si="14"/>
        <v/>
      </c>
      <c r="CF79" s="175" t="str">
        <f t="shared" si="14"/>
        <v/>
      </c>
      <c r="CG79" s="175" t="str">
        <f t="shared" si="14"/>
        <v/>
      </c>
      <c r="CH79" s="175" t="str">
        <f t="shared" si="14"/>
        <v/>
      </c>
      <c r="CI79" s="175" t="str">
        <f t="shared" si="14"/>
        <v/>
      </c>
      <c r="CJ79" s="175" t="str">
        <f t="shared" si="14"/>
        <v/>
      </c>
      <c r="CK79" s="175" t="str">
        <f t="shared" si="14"/>
        <v/>
      </c>
      <c r="CL79" s="175" t="str">
        <f t="shared" si="14"/>
        <v/>
      </c>
      <c r="CM79" s="175" t="str">
        <f t="shared" si="14"/>
        <v/>
      </c>
      <c r="CN79" s="175" t="str">
        <f t="shared" si="14"/>
        <v/>
      </c>
      <c r="CO79" s="175" t="str">
        <f t="shared" si="14"/>
        <v/>
      </c>
      <c r="CP79" s="175" t="str">
        <f t="shared" si="14"/>
        <v/>
      </c>
      <c r="CQ79" s="175" t="str">
        <f t="shared" si="14"/>
        <v/>
      </c>
      <c r="CR79" s="175" t="str">
        <f t="shared" si="14"/>
        <v/>
      </c>
      <c r="CS79" s="175" t="str">
        <f t="shared" si="14"/>
        <v/>
      </c>
      <c r="CT79" s="175" t="str">
        <f t="shared" si="14"/>
        <v/>
      </c>
      <c r="CU79" s="175" t="str">
        <f t="shared" si="14"/>
        <v/>
      </c>
      <c r="CV79" s="175" t="str">
        <f t="shared" si="14"/>
        <v/>
      </c>
      <c r="CW79" s="175" t="str">
        <f t="shared" si="14"/>
        <v/>
      </c>
      <c r="CX79" s="175" t="str">
        <f t="shared" si="14"/>
        <v/>
      </c>
      <c r="CY79" s="175" t="str">
        <f t="shared" si="14"/>
        <v/>
      </c>
      <c r="CZ79" s="183">
        <f>IFERROR(AVERAGE(CZ76:CZ78),"")</f>
        <v>0.73445927915366049</v>
      </c>
    </row>
    <row r="80" spans="1:105" s="187" customFormat="1" ht="15" x14ac:dyDescent="0.25">
      <c r="C80" s="2543"/>
      <c r="D80" s="184"/>
      <c r="E80" s="185"/>
      <c r="F80" s="185"/>
      <c r="G80" s="185"/>
      <c r="H80" s="185"/>
      <c r="I80" s="185"/>
      <c r="J80" s="185"/>
      <c r="K80" s="185"/>
      <c r="L80" s="185"/>
      <c r="M80" s="185"/>
      <c r="N80" s="185"/>
      <c r="O80" s="185"/>
      <c r="P80" s="185"/>
      <c r="Q80" s="185"/>
      <c r="R80" s="185"/>
      <c r="S80" s="186"/>
      <c r="T80" s="186"/>
      <c r="U80" s="186"/>
      <c r="V80" s="186"/>
      <c r="W80" s="186"/>
      <c r="X80" s="186"/>
      <c r="Y80" s="186"/>
      <c r="Z80" s="186"/>
      <c r="AA80" s="186"/>
      <c r="AB80" s="186"/>
      <c r="AC80" s="186"/>
      <c r="AD80" s="186"/>
      <c r="AE80" s="186"/>
      <c r="AF80" s="186"/>
      <c r="AG80" s="186"/>
      <c r="AH80" s="186"/>
      <c r="AI80" s="186"/>
      <c r="AJ80" s="186"/>
      <c r="AK80" s="186"/>
      <c r="AL80" s="186"/>
      <c r="AM80" s="186"/>
      <c r="AN80" s="186"/>
      <c r="AO80" s="186"/>
      <c r="AP80" s="186"/>
      <c r="AQ80" s="186"/>
      <c r="AR80" s="186"/>
      <c r="AS80" s="186"/>
      <c r="AT80" s="186"/>
      <c r="AU80" s="186"/>
      <c r="AV80" s="186"/>
      <c r="AW80" s="186"/>
      <c r="AX80" s="186"/>
      <c r="AY80" s="186"/>
      <c r="AZ80" s="186"/>
      <c r="BA80" s="186"/>
      <c r="BB80" s="186"/>
      <c r="BC80" s="186"/>
      <c r="BD80" s="186"/>
      <c r="BE80" s="186"/>
    </row>
    <row r="81" spans="1:104" s="180" customFormat="1" ht="29.25" customHeight="1" x14ac:dyDescent="0.25">
      <c r="B81" s="1976"/>
      <c r="C81" s="1976"/>
      <c r="D81" s="1976"/>
      <c r="E81" s="188"/>
      <c r="F81" s="188"/>
      <c r="G81" s="188"/>
      <c r="H81" s="188"/>
      <c r="I81" s="188"/>
      <c r="J81" s="188"/>
      <c r="K81" s="188"/>
      <c r="L81" s="188"/>
      <c r="M81" s="188"/>
      <c r="N81" s="188"/>
      <c r="O81" s="188"/>
      <c r="P81" s="188"/>
      <c r="Q81" s="188"/>
      <c r="R81" s="188"/>
      <c r="S81" s="189"/>
      <c r="T81" s="189"/>
      <c r="U81" s="189"/>
      <c r="V81" s="189"/>
      <c r="W81" s="189"/>
      <c r="X81" s="189"/>
      <c r="Y81" s="189"/>
      <c r="Z81" s="189"/>
      <c r="AA81" s="189"/>
      <c r="AB81" s="189"/>
      <c r="AC81" s="189"/>
      <c r="AD81" s="189"/>
      <c r="AE81" s="189"/>
      <c r="AF81" s="189"/>
      <c r="AG81" s="189"/>
      <c r="AH81" s="189"/>
      <c r="AI81" s="189"/>
      <c r="AJ81" s="189"/>
      <c r="AK81" s="189"/>
      <c r="AL81" s="189"/>
      <c r="AM81" s="189"/>
      <c r="AN81" s="189"/>
      <c r="AO81" s="189"/>
      <c r="AP81" s="189"/>
      <c r="AQ81" s="189"/>
      <c r="AR81" s="189"/>
      <c r="AS81" s="189"/>
      <c r="AT81" s="189"/>
      <c r="AU81" s="189"/>
      <c r="AV81" s="189"/>
      <c r="AW81" s="189"/>
      <c r="AX81" s="189"/>
      <c r="AY81" s="189"/>
      <c r="AZ81" s="189"/>
      <c r="BA81" s="189"/>
      <c r="BB81" s="189"/>
      <c r="BC81" s="189"/>
      <c r="BD81" s="189"/>
      <c r="BE81" s="189"/>
    </row>
    <row r="82" spans="1:104" s="180" customFormat="1" x14ac:dyDescent="0.25">
      <c r="C82" s="181"/>
      <c r="E82" s="1197"/>
      <c r="F82" s="1197"/>
      <c r="G82" s="1197"/>
      <c r="H82" s="1197"/>
      <c r="I82" s="1197"/>
      <c r="J82" s="1197"/>
      <c r="K82" s="1197"/>
      <c r="L82" s="1197"/>
      <c r="M82" s="1197"/>
      <c r="N82" s="1197"/>
      <c r="O82" s="1197"/>
      <c r="P82" s="1197"/>
      <c r="Q82" s="1197"/>
      <c r="R82" s="1197"/>
      <c r="S82" s="1198"/>
      <c r="T82" s="1198"/>
      <c r="U82" s="1198"/>
      <c r="V82" s="1198"/>
      <c r="W82" s="1198"/>
      <c r="X82" s="1198"/>
      <c r="Y82" s="1198"/>
      <c r="Z82" s="1198"/>
      <c r="AA82" s="1198"/>
      <c r="AB82" s="1198"/>
      <c r="AC82" s="1198"/>
      <c r="AD82" s="1198"/>
      <c r="AE82" s="1198"/>
      <c r="AF82" s="1198"/>
      <c r="AG82" s="1198"/>
      <c r="AH82" s="1198"/>
      <c r="AI82" s="1198"/>
      <c r="AJ82" s="1198"/>
      <c r="AK82" s="1198"/>
      <c r="AL82" s="1198"/>
      <c r="AM82" s="1198"/>
      <c r="AN82" s="1198"/>
      <c r="AO82" s="1198"/>
      <c r="AP82" s="1198"/>
      <c r="AQ82" s="1198"/>
      <c r="AR82" s="1198"/>
      <c r="AS82" s="1198"/>
      <c r="AT82" s="1198"/>
      <c r="AU82" s="1198"/>
      <c r="AV82" s="1198"/>
      <c r="AW82" s="1198"/>
      <c r="AX82" s="1198"/>
      <c r="AY82" s="1198"/>
      <c r="AZ82" s="1198"/>
      <c r="BA82" s="1198"/>
      <c r="BB82" s="1198"/>
      <c r="BC82" s="1198"/>
      <c r="BD82" s="1198"/>
      <c r="BE82" s="1198"/>
    </row>
    <row r="83" spans="1:104" ht="18" hidden="1" x14ac:dyDescent="0.25">
      <c r="G83" s="91"/>
      <c r="H83" s="65"/>
      <c r="I83" s="65"/>
      <c r="J83" s="65"/>
      <c r="CZ83" s="170" t="str">
        <f>IFERROR((E83*$E$15+F83*$F$15+G83*$G$15+H83*$H$15+I83*$I$15+#REF!*#REF!/SUMIF(E83:CY83,"&gt;0",E24:CY24)),"")</f>
        <v/>
      </c>
    </row>
    <row r="84" spans="1:104" hidden="1" x14ac:dyDescent="0.25">
      <c r="G84" s="91"/>
      <c r="H84" s="65"/>
      <c r="I84" s="65"/>
      <c r="J84" s="65"/>
      <c r="L84" s="65"/>
    </row>
    <row r="85" spans="1:104" hidden="1" x14ac:dyDescent="0.25">
      <c r="D85" s="1199"/>
      <c r="G85" s="91"/>
      <c r="H85" s="65"/>
      <c r="I85" s="65"/>
      <c r="J85" s="65"/>
    </row>
    <row r="86" spans="1:104" hidden="1" x14ac:dyDescent="0.25"/>
    <row r="87" spans="1:104" hidden="1" x14ac:dyDescent="0.25"/>
    <row r="88" spans="1:104" hidden="1" x14ac:dyDescent="0.25"/>
    <row r="89" spans="1:104" hidden="1" x14ac:dyDescent="0.25">
      <c r="F89" s="191"/>
    </row>
    <row r="90" spans="1:104" hidden="1" x14ac:dyDescent="0.25">
      <c r="F90" s="191"/>
      <c r="G90" s="65"/>
      <c r="H90" s="65"/>
      <c r="I90" s="192"/>
      <c r="J90" s="192"/>
    </row>
    <row r="91" spans="1:104" ht="15" hidden="1" x14ac:dyDescent="0.25">
      <c r="B91" s="1200"/>
      <c r="F91" s="191"/>
      <c r="G91" s="93"/>
      <c r="H91" s="65"/>
      <c r="I91" s="192"/>
      <c r="J91" s="192"/>
    </row>
    <row r="92" spans="1:104" ht="15" hidden="1" x14ac:dyDescent="0.25">
      <c r="A92" s="201"/>
      <c r="B92" s="1201" t="s">
        <v>173</v>
      </c>
      <c r="C92" s="201"/>
      <c r="D92" s="201"/>
      <c r="E92" s="202"/>
      <c r="F92" s="203"/>
      <c r="G92" s="192"/>
      <c r="H92" s="192"/>
      <c r="I92" s="192"/>
      <c r="J92" s="192"/>
      <c r="K92" s="1977" t="s">
        <v>279</v>
      </c>
      <c r="L92" s="1977"/>
      <c r="M92" s="1977"/>
      <c r="N92" s="1977"/>
      <c r="O92" s="1977"/>
      <c r="P92" s="1977"/>
      <c r="Q92" s="1977"/>
    </row>
    <row r="93" spans="1:104" ht="15" hidden="1" x14ac:dyDescent="0.2">
      <c r="A93" s="201"/>
      <c r="B93" s="1201" t="s">
        <v>280</v>
      </c>
      <c r="C93" s="201"/>
      <c r="D93" s="201"/>
      <c r="E93" s="202"/>
      <c r="F93" s="202"/>
      <c r="G93" s="202"/>
      <c r="H93" s="202"/>
      <c r="I93" s="202"/>
      <c r="J93" s="202"/>
      <c r="K93" s="29"/>
      <c r="L93" s="1978" t="s">
        <v>281</v>
      </c>
      <c r="M93" s="1978"/>
      <c r="N93" s="1978"/>
      <c r="O93" s="1978"/>
      <c r="P93" s="1978"/>
      <c r="Q93" s="1978"/>
    </row>
    <row r="94" spans="1:104" ht="15" hidden="1" x14ac:dyDescent="0.25">
      <c r="A94" s="201"/>
      <c r="B94" s="1201" t="s">
        <v>282</v>
      </c>
      <c r="C94" s="201"/>
      <c r="D94" s="201"/>
      <c r="E94" s="202"/>
      <c r="F94" s="1979" t="s">
        <v>281</v>
      </c>
      <c r="G94" s="1980"/>
      <c r="H94" s="1981"/>
      <c r="I94" s="1202"/>
      <c r="J94" s="202"/>
      <c r="K94" s="1203"/>
      <c r="L94" s="1982" t="s">
        <v>165</v>
      </c>
      <c r="M94" s="1982"/>
      <c r="N94" s="1983" t="s">
        <v>166</v>
      </c>
      <c r="O94" s="1983"/>
      <c r="P94" s="1984" t="s">
        <v>167</v>
      </c>
      <c r="Q94" s="1984"/>
    </row>
    <row r="95" spans="1:104" ht="15" hidden="1" x14ac:dyDescent="0.25">
      <c r="A95" s="201"/>
      <c r="B95" s="204"/>
      <c r="C95" s="201"/>
      <c r="D95" s="201"/>
      <c r="E95" s="1204" t="s">
        <v>200</v>
      </c>
      <c r="F95" s="1205" t="s">
        <v>165</v>
      </c>
      <c r="G95" s="1205" t="s">
        <v>166</v>
      </c>
      <c r="H95" s="1206" t="s">
        <v>167</v>
      </c>
      <c r="I95" s="1207" t="s">
        <v>283</v>
      </c>
      <c r="J95" s="202"/>
      <c r="K95" s="1204" t="s">
        <v>200</v>
      </c>
      <c r="L95" s="1208" t="s">
        <v>284</v>
      </c>
      <c r="M95" s="1208" t="s">
        <v>285</v>
      </c>
      <c r="N95" s="1209" t="s">
        <v>284</v>
      </c>
      <c r="O95" s="1209" t="s">
        <v>285</v>
      </c>
      <c r="P95" s="1210" t="s">
        <v>284</v>
      </c>
      <c r="Q95" s="1210" t="s">
        <v>285</v>
      </c>
    </row>
    <row r="96" spans="1:104" hidden="1" x14ac:dyDescent="0.25">
      <c r="A96" s="201"/>
      <c r="B96" s="204"/>
      <c r="C96" s="201"/>
      <c r="D96" s="201"/>
      <c r="E96" s="1211" t="s">
        <v>286</v>
      </c>
      <c r="F96" s="1212">
        <v>0</v>
      </c>
      <c r="G96" s="1212">
        <v>0</v>
      </c>
      <c r="H96" s="1212">
        <v>0</v>
      </c>
      <c r="I96" s="1207" t="s">
        <v>286</v>
      </c>
      <c r="J96" s="202"/>
      <c r="K96" s="1211" t="s">
        <v>288</v>
      </c>
      <c r="L96" s="1213">
        <v>1</v>
      </c>
      <c r="M96" s="1214">
        <v>0.7</v>
      </c>
      <c r="N96" s="1215">
        <v>1</v>
      </c>
      <c r="O96" s="1216">
        <f>ParaminMedia</f>
        <v>0.75</v>
      </c>
      <c r="P96" s="1217">
        <v>1</v>
      </c>
      <c r="Q96" s="1218">
        <f>ParaminAlta</f>
        <v>0.8</v>
      </c>
    </row>
    <row r="97" spans="1:17" hidden="1" x14ac:dyDescent="0.25">
      <c r="A97" s="201"/>
      <c r="B97" s="201"/>
      <c r="C97" s="201"/>
      <c r="D97" s="201"/>
      <c r="E97" s="1219" t="s">
        <v>289</v>
      </c>
      <c r="F97" s="1212">
        <f>F98-5%</f>
        <v>0.64999999999999991</v>
      </c>
      <c r="G97" s="1212">
        <f>G98-5%</f>
        <v>0.7</v>
      </c>
      <c r="H97" s="1212">
        <f>H98-5%</f>
        <v>0.75</v>
      </c>
      <c r="I97" s="1207" t="s">
        <v>289</v>
      </c>
      <c r="J97" s="202"/>
      <c r="K97" s="1219" t="s">
        <v>290</v>
      </c>
      <c r="L97" s="1220">
        <v>0.69989999999999997</v>
      </c>
      <c r="M97" s="1214">
        <v>0.65</v>
      </c>
      <c r="N97" s="1221">
        <v>0.74990000000000001</v>
      </c>
      <c r="O97" s="1216">
        <v>0.7</v>
      </c>
      <c r="P97" s="1222">
        <v>0.79990000000000006</v>
      </c>
      <c r="Q97" s="1218">
        <v>0.75</v>
      </c>
    </row>
    <row r="98" spans="1:17" hidden="1" x14ac:dyDescent="0.25">
      <c r="A98" s="201"/>
      <c r="B98" s="201"/>
      <c r="C98" s="201"/>
      <c r="D98" s="201"/>
      <c r="E98" s="1211" t="s">
        <v>291</v>
      </c>
      <c r="F98" s="1212">
        <f>ParaminBaja</f>
        <v>0.7</v>
      </c>
      <c r="G98" s="1212">
        <f>ParaminMedia</f>
        <v>0.75</v>
      </c>
      <c r="H98" s="1212">
        <f>ParaminAlta</f>
        <v>0.8</v>
      </c>
      <c r="I98" s="1207" t="s">
        <v>291</v>
      </c>
      <c r="J98" s="202"/>
      <c r="K98" s="1211" t="s">
        <v>287</v>
      </c>
      <c r="L98" s="1220">
        <v>0.64990000000000003</v>
      </c>
      <c r="M98" s="1214">
        <v>0</v>
      </c>
      <c r="N98" s="1221">
        <v>0.69989999999999997</v>
      </c>
      <c r="O98" s="1216">
        <v>0</v>
      </c>
      <c r="P98" s="1222">
        <v>0.74990000000000001</v>
      </c>
      <c r="Q98" s="1218">
        <v>0</v>
      </c>
    </row>
    <row r="99" spans="1:17" ht="17.25" hidden="1" customHeight="1" x14ac:dyDescent="0.25">
      <c r="A99" s="201"/>
      <c r="B99" s="201"/>
      <c r="C99" s="201"/>
      <c r="D99" s="201"/>
      <c r="E99" s="202"/>
      <c r="F99" s="202"/>
      <c r="G99" s="202"/>
      <c r="H99" s="202"/>
      <c r="I99" s="202"/>
      <c r="J99" s="202"/>
      <c r="K99" s="202"/>
      <c r="L99" s="202"/>
      <c r="M99" s="202"/>
      <c r="N99" s="202"/>
      <c r="O99" s="202"/>
      <c r="P99" s="202"/>
      <c r="Q99" s="202"/>
    </row>
    <row r="100" spans="1:17" ht="15" hidden="1" thickBot="1" x14ac:dyDescent="0.3">
      <c r="A100" s="201"/>
      <c r="B100" s="201"/>
      <c r="C100" s="201"/>
      <c r="D100" s="201"/>
      <c r="E100" s="202"/>
      <c r="F100" s="1223"/>
      <c r="G100" s="1985" t="s">
        <v>457</v>
      </c>
      <c r="H100" s="1986"/>
      <c r="I100" s="1987"/>
      <c r="J100" s="192"/>
      <c r="K100" s="202"/>
      <c r="L100" s="202"/>
      <c r="M100" s="202"/>
      <c r="N100" s="202"/>
      <c r="O100" s="202"/>
      <c r="P100" s="202"/>
      <c r="Q100" s="202"/>
    </row>
    <row r="101" spans="1:17" ht="26.25" hidden="1" thickBot="1" x14ac:dyDescent="0.3">
      <c r="A101" s="201"/>
      <c r="B101" s="201"/>
      <c r="C101" s="201"/>
      <c r="D101" s="201"/>
      <c r="E101" s="202"/>
      <c r="F101" s="1224" t="s">
        <v>292</v>
      </c>
      <c r="G101" s="1225" t="s">
        <v>165</v>
      </c>
      <c r="H101" s="1225" t="s">
        <v>166</v>
      </c>
      <c r="I101" s="1226" t="s">
        <v>167</v>
      </c>
      <c r="J101" s="202"/>
      <c r="K101" s="202"/>
      <c r="L101" s="202"/>
      <c r="M101" s="202"/>
      <c r="N101" s="202"/>
      <c r="O101" s="202"/>
      <c r="P101" s="202"/>
      <c r="Q101" s="202"/>
    </row>
    <row r="102" spans="1:17" ht="20.25" hidden="1" customHeight="1" thickBot="1" x14ac:dyDescent="0.3">
      <c r="A102" s="201"/>
      <c r="B102" s="201"/>
      <c r="C102" s="201"/>
      <c r="D102" s="201"/>
      <c r="E102" s="1988" t="s">
        <v>293</v>
      </c>
      <c r="F102" s="1227" t="s">
        <v>294</v>
      </c>
      <c r="G102" s="1228">
        <v>0.7</v>
      </c>
      <c r="H102" s="1228">
        <v>0.7</v>
      </c>
      <c r="I102" s="1228">
        <v>0.7</v>
      </c>
      <c r="J102" s="202"/>
      <c r="K102" s="202"/>
      <c r="L102" s="202"/>
      <c r="M102" s="202"/>
      <c r="N102" s="202"/>
      <c r="O102" s="202"/>
      <c r="P102" s="202"/>
      <c r="Q102" s="202"/>
    </row>
    <row r="103" spans="1:17" ht="26.25" hidden="1" thickBot="1" x14ac:dyDescent="0.3">
      <c r="A103" s="201"/>
      <c r="B103" s="203"/>
      <c r="C103" s="203"/>
      <c r="D103" s="203"/>
      <c r="E103" s="1989"/>
      <c r="F103" s="1227" t="s">
        <v>295</v>
      </c>
      <c r="G103" s="1228">
        <v>0.7</v>
      </c>
      <c r="H103" s="1228">
        <v>0.7</v>
      </c>
      <c r="I103" s="1228">
        <v>0.7</v>
      </c>
      <c r="J103" s="202"/>
      <c r="K103" s="1229"/>
      <c r="L103" s="202"/>
      <c r="M103" s="202"/>
      <c r="N103" s="202"/>
      <c r="O103" s="202"/>
      <c r="P103" s="202"/>
      <c r="Q103" s="202"/>
    </row>
    <row r="104" spans="1:17" ht="29.25" hidden="1" customHeight="1" thickBot="1" x14ac:dyDescent="0.3">
      <c r="A104" s="201"/>
      <c r="B104" s="203"/>
      <c r="C104" s="203"/>
      <c r="D104" s="203"/>
      <c r="E104" s="1989"/>
      <c r="F104" s="1227" t="s">
        <v>296</v>
      </c>
      <c r="G104" s="1228">
        <v>0.7</v>
      </c>
      <c r="H104" s="1228">
        <v>0.7</v>
      </c>
      <c r="I104" s="1228">
        <v>0.7</v>
      </c>
      <c r="J104" s="202"/>
      <c r="K104" s="1230"/>
      <c r="L104" s="202"/>
      <c r="M104" s="202"/>
      <c r="N104" s="202"/>
      <c r="O104" s="202"/>
      <c r="P104" s="202"/>
      <c r="Q104" s="202"/>
    </row>
    <row r="105" spans="1:17" ht="26.25" hidden="1" thickBot="1" x14ac:dyDescent="0.3">
      <c r="A105" s="201"/>
      <c r="B105" s="203"/>
      <c r="C105" s="203"/>
      <c r="D105" s="203"/>
      <c r="E105" s="1990"/>
      <c r="F105" s="1227" t="s">
        <v>298</v>
      </c>
      <c r="G105" s="1228">
        <v>0.7</v>
      </c>
      <c r="H105" s="1228">
        <v>0.7</v>
      </c>
      <c r="I105" s="1228">
        <v>0.7</v>
      </c>
      <c r="J105" s="202"/>
      <c r="K105" s="1230"/>
      <c r="L105" s="202"/>
      <c r="M105" s="202"/>
      <c r="N105" s="202"/>
      <c r="O105" s="202"/>
      <c r="P105" s="202"/>
      <c r="Q105" s="202"/>
    </row>
    <row r="106" spans="1:17" ht="15" hidden="1" thickBot="1" x14ac:dyDescent="0.3">
      <c r="A106" s="201"/>
      <c r="B106" s="201"/>
      <c r="C106" s="203"/>
      <c r="D106" s="203"/>
      <c r="E106" s="1974" t="s">
        <v>297</v>
      </c>
      <c r="F106" s="1227" t="s">
        <v>202</v>
      </c>
      <c r="G106" s="1228">
        <v>0.8</v>
      </c>
      <c r="H106" s="1228">
        <v>0.8</v>
      </c>
      <c r="I106" s="1228">
        <v>0.8</v>
      </c>
      <c r="J106" s="202"/>
      <c r="K106" s="202"/>
      <c r="L106" s="202"/>
      <c r="M106" s="202"/>
      <c r="N106" s="202"/>
      <c r="O106" s="202"/>
      <c r="P106" s="202"/>
      <c r="Q106" s="202"/>
    </row>
    <row r="107" spans="1:17" ht="26.25" hidden="1" thickBot="1" x14ac:dyDescent="0.3">
      <c r="A107" s="201"/>
      <c r="B107" s="201"/>
      <c r="C107" s="204"/>
      <c r="D107" s="201"/>
      <c r="E107" s="1975"/>
      <c r="F107" s="1227" t="s">
        <v>299</v>
      </c>
      <c r="G107" s="1228">
        <v>0.8</v>
      </c>
      <c r="H107" s="1228">
        <v>0.8</v>
      </c>
      <c r="I107" s="1228">
        <v>0.8</v>
      </c>
      <c r="J107" s="202"/>
      <c r="K107" s="202"/>
      <c r="L107" s="202"/>
      <c r="M107" s="202"/>
      <c r="N107" s="202"/>
      <c r="O107" s="202"/>
      <c r="P107" s="202"/>
      <c r="Q107" s="202"/>
    </row>
    <row r="108" spans="1:17" ht="15" hidden="1" thickBot="1" x14ac:dyDescent="0.3">
      <c r="A108" s="201"/>
      <c r="B108" s="201"/>
      <c r="C108" s="204"/>
      <c r="D108" s="201"/>
      <c r="E108" s="1975"/>
      <c r="F108" s="1227" t="s">
        <v>204</v>
      </c>
      <c r="G108" s="1228">
        <v>0.8</v>
      </c>
      <c r="H108" s="1228">
        <v>0.8</v>
      </c>
      <c r="I108" s="1228">
        <v>0.8</v>
      </c>
      <c r="J108" s="202"/>
      <c r="K108" s="202"/>
      <c r="L108" s="202"/>
      <c r="M108" s="202"/>
      <c r="N108" s="202"/>
      <c r="O108" s="202"/>
      <c r="P108" s="202"/>
      <c r="Q108" s="202"/>
    </row>
    <row r="109" spans="1:17" ht="15" hidden="1" thickBot="1" x14ac:dyDescent="0.3">
      <c r="A109" s="201"/>
      <c r="B109" s="201"/>
      <c r="C109" s="204"/>
      <c r="D109" s="201"/>
      <c r="E109" s="1975"/>
      <c r="F109" s="1227" t="s">
        <v>205</v>
      </c>
      <c r="G109" s="1228">
        <v>0.9</v>
      </c>
      <c r="H109" s="1228">
        <v>0.9</v>
      </c>
      <c r="I109" s="1228">
        <v>0.9</v>
      </c>
      <c r="J109" s="202"/>
      <c r="K109" s="202"/>
      <c r="L109" s="202"/>
      <c r="M109" s="202"/>
      <c r="N109" s="202"/>
      <c r="O109" s="202"/>
      <c r="P109" s="202"/>
      <c r="Q109" s="202"/>
    </row>
    <row r="110" spans="1:17" hidden="1" x14ac:dyDescent="0.25">
      <c r="A110" s="201"/>
      <c r="B110" s="201"/>
      <c r="C110" s="204"/>
      <c r="D110" s="201"/>
      <c r="E110" s="1975"/>
      <c r="F110" s="1231" t="s">
        <v>203</v>
      </c>
      <c r="G110" s="1232">
        <v>1</v>
      </c>
      <c r="H110" s="1232">
        <v>1</v>
      </c>
      <c r="I110" s="1232">
        <v>1</v>
      </c>
      <c r="J110" s="202"/>
      <c r="K110" s="202"/>
      <c r="L110" s="202"/>
      <c r="M110" s="202"/>
      <c r="N110" s="202"/>
      <c r="O110" s="202"/>
      <c r="P110" s="202"/>
      <c r="Q110" s="202"/>
    </row>
    <row r="111" spans="1:17" hidden="1" x14ac:dyDescent="0.25">
      <c r="I111" s="1233"/>
    </row>
    <row r="112" spans="1:17" hidden="1" x14ac:dyDescent="0.25"/>
    <row r="113" spans="5:5" hidden="1" x14ac:dyDescent="0.25"/>
    <row r="114" spans="5:5" hidden="1" x14ac:dyDescent="0.25"/>
    <row r="115" spans="5:5" hidden="1" x14ac:dyDescent="0.25">
      <c r="E115" s="160" t="s">
        <v>187</v>
      </c>
    </row>
    <row r="116" spans="5:5" hidden="1" x14ac:dyDescent="0.25">
      <c r="E116" s="160" t="s">
        <v>193</v>
      </c>
    </row>
    <row r="117" spans="5:5" ht="15" hidden="1" thickBot="1" x14ac:dyDescent="0.3">
      <c r="E117" s="165" t="s">
        <v>195</v>
      </c>
    </row>
    <row r="118" spans="5:5" hidden="1" x14ac:dyDescent="0.25"/>
    <row r="119" spans="5:5" hidden="1" x14ac:dyDescent="0.25"/>
    <row r="120" spans="5:5" hidden="1" x14ac:dyDescent="0.25"/>
    <row r="121" spans="5:5" hidden="1" x14ac:dyDescent="0.25"/>
    <row r="122" spans="5:5" hidden="1" x14ac:dyDescent="0.25"/>
    <row r="123" spans="5:5" hidden="1" x14ac:dyDescent="0.25"/>
    <row r="124" spans="5:5" hidden="1" x14ac:dyDescent="0.25"/>
    <row r="125" spans="5:5" hidden="1" x14ac:dyDescent="0.25"/>
    <row r="126" spans="5:5" hidden="1" x14ac:dyDescent="0.25"/>
    <row r="127" spans="5:5" hidden="1" x14ac:dyDescent="0.25"/>
    <row r="128" spans="5:5" hidden="1" x14ac:dyDescent="0.25"/>
    <row r="129" hidden="1" x14ac:dyDescent="0.25"/>
    <row r="65297" spans="4:4" x14ac:dyDescent="0.25">
      <c r="D65297" s="193"/>
    </row>
    <row r="65371" spans="1:5" x14ac:dyDescent="0.25">
      <c r="A65371" s="160" t="s">
        <v>187</v>
      </c>
      <c r="B65371" s="201"/>
      <c r="C65371" s="204"/>
      <c r="D65371" s="201"/>
      <c r="E65371" s="202"/>
    </row>
    <row r="65372" spans="1:5" x14ac:dyDescent="0.25">
      <c r="A65372" s="160" t="s">
        <v>193</v>
      </c>
      <c r="B65372" s="201"/>
      <c r="C65372" s="204"/>
      <c r="D65372" s="201"/>
      <c r="E65372" s="202"/>
    </row>
    <row r="65373" spans="1:5" ht="15" thickBot="1" x14ac:dyDescent="0.3">
      <c r="A65373" s="165" t="s">
        <v>195</v>
      </c>
      <c r="B65373" s="201"/>
      <c r="C65373" s="204"/>
      <c r="D65373" s="201"/>
      <c r="E65373" s="202"/>
    </row>
    <row r="65374" spans="1:5" x14ac:dyDescent="0.25">
      <c r="A65374" s="201"/>
      <c r="B65374" s="201"/>
      <c r="C65374" s="204"/>
      <c r="D65374" s="201"/>
      <c r="E65374" s="202"/>
    </row>
    <row r="65375" spans="1:5" x14ac:dyDescent="0.25">
      <c r="A65375" s="205"/>
      <c r="B65375" s="206"/>
      <c r="C65375" s="204"/>
      <c r="D65375" s="201"/>
      <c r="E65375" s="202"/>
    </row>
    <row r="65376" spans="1:5" x14ac:dyDescent="0.25">
      <c r="A65376" s="207"/>
      <c r="B65376" s="206"/>
      <c r="C65376" s="204"/>
      <c r="D65376" s="201"/>
      <c r="E65376" s="202"/>
    </row>
    <row r="65377" spans="1:5" x14ac:dyDescent="0.25">
      <c r="A65377" s="207"/>
      <c r="B65377" s="206"/>
      <c r="C65377" s="204"/>
      <c r="D65377" s="201"/>
      <c r="E65377" s="202"/>
    </row>
    <row r="65378" spans="1:5" x14ac:dyDescent="0.25">
      <c r="A65378" s="208" t="s">
        <v>300</v>
      </c>
      <c r="B65378" s="206"/>
      <c r="C65378" s="204"/>
      <c r="D65378" s="201"/>
      <c r="E65378" s="202"/>
    </row>
    <row r="65379" spans="1:5" ht="25.5" x14ac:dyDescent="0.25">
      <c r="A65379" s="208" t="s">
        <v>301</v>
      </c>
      <c r="B65379" s="206"/>
      <c r="C65379" s="209" t="s">
        <v>302</v>
      </c>
      <c r="D65379" s="210" t="s">
        <v>303</v>
      </c>
      <c r="E65379" s="211" t="s">
        <v>304</v>
      </c>
    </row>
    <row r="65380" spans="1:5" ht="25.5" x14ac:dyDescent="0.25">
      <c r="A65380" s="212" t="s">
        <v>305</v>
      </c>
      <c r="B65380" s="206"/>
      <c r="C65380" s="213">
        <v>100000</v>
      </c>
      <c r="D65380" s="214" t="s">
        <v>306</v>
      </c>
      <c r="E65380" s="203" t="str">
        <f>CONCATENATE(Dependencias[[#This Row],[CÓDIGO]]," - ",Dependencias[[#This Row],[DEPENDENCIA]])</f>
        <v xml:space="preserve">100000 - DIRECCIÓN SECTOR SALUD </v>
      </c>
    </row>
    <row r="65381" spans="1:5" x14ac:dyDescent="0.25">
      <c r="A65381" s="212" t="s">
        <v>307</v>
      </c>
      <c r="B65381" s="206"/>
      <c r="C65381" s="215">
        <v>110000</v>
      </c>
      <c r="D65381" s="216" t="s">
        <v>308</v>
      </c>
      <c r="E65381" s="203" t="str">
        <f>CONCATENATE(Dependencias[[#This Row],[CÓDIGO]]," - ",Dependencias[[#This Row],[DEPENDENCIA]])</f>
        <v xml:space="preserve">110000 - DIRECCIÓN SECTOR GOBIERNO </v>
      </c>
    </row>
    <row r="65382" spans="1:5" x14ac:dyDescent="0.25">
      <c r="A65382" s="212" t="s">
        <v>309</v>
      </c>
      <c r="B65382" s="206"/>
      <c r="C65382" s="213">
        <v>12000</v>
      </c>
      <c r="D65382" s="214" t="s">
        <v>310</v>
      </c>
      <c r="E65382" s="203" t="str">
        <f>CONCATENATE(Dependencias[[#This Row],[CÓDIGO]]," - ",Dependencias[[#This Row],[DEPENDENCIA]])</f>
        <v xml:space="preserve">12000 - DIRECCIÓN DE PARTICIPACIÓN CIUDADANA Y DESARROLLO LOCAL </v>
      </c>
    </row>
    <row r="65383" spans="1:5" ht="25.5" x14ac:dyDescent="0.25">
      <c r="A65383" s="212" t="s">
        <v>311</v>
      </c>
      <c r="B65383" s="206"/>
      <c r="C65383" s="213">
        <v>120000</v>
      </c>
      <c r="D65383" s="214" t="s">
        <v>312</v>
      </c>
      <c r="E65383" s="203" t="str">
        <f>CONCATENATE(Dependencias[[#This Row],[CÓDIGO]]," - ",Dependencias[[#This Row],[DEPENDENCIA]])</f>
        <v xml:space="preserve">120000 - DIRECCIÓN SECTOR EQUIDAD Y GÉNERO </v>
      </c>
    </row>
    <row r="65384" spans="1:5" x14ac:dyDescent="0.25">
      <c r="A65384" s="212" t="s">
        <v>313</v>
      </c>
      <c r="B65384" s="201"/>
      <c r="C65384" s="215">
        <v>12101</v>
      </c>
      <c r="D65384" s="216" t="s">
        <v>314</v>
      </c>
      <c r="E65384" s="203" t="str">
        <f>CONCATENATE(Dependencias[[#This Row],[CÓDIGO]]," - ",Dependencias[[#This Row],[DEPENDENCIA]])</f>
        <v>12101 - GERENCIA LOCAL USAQUÉN</v>
      </c>
    </row>
    <row r="65385" spans="1:5" ht="25.5" x14ac:dyDescent="0.25">
      <c r="A65385" s="212" t="s">
        <v>315</v>
      </c>
      <c r="B65385" s="201"/>
      <c r="C65385" s="213">
        <v>12102</v>
      </c>
      <c r="D65385" s="214" t="s">
        <v>316</v>
      </c>
      <c r="E65385" s="203" t="str">
        <f>CONCATENATE(Dependencias[[#This Row],[CÓDIGO]]," - ",Dependencias[[#This Row],[DEPENDENCIA]])</f>
        <v xml:space="preserve">12102 - GERENCIA LOCAL CHAPINERO </v>
      </c>
    </row>
    <row r="65386" spans="1:5" ht="25.5" x14ac:dyDescent="0.25">
      <c r="A65386" s="212" t="s">
        <v>317</v>
      </c>
      <c r="B65386" s="201"/>
      <c r="C65386" s="215">
        <v>12103</v>
      </c>
      <c r="D65386" s="216" t="s">
        <v>318</v>
      </c>
      <c r="E65386" s="203" t="str">
        <f>CONCATENATE(Dependencias[[#This Row],[CÓDIGO]]," - ",Dependencias[[#This Row],[DEPENDENCIA]])</f>
        <v>12103 - GERENCIA LOCAL SANTAFÉ</v>
      </c>
    </row>
    <row r="65387" spans="1:5" ht="25.5" x14ac:dyDescent="0.25">
      <c r="A65387" s="212" t="s">
        <v>319</v>
      </c>
      <c r="B65387" s="201"/>
      <c r="C65387" s="213">
        <v>12104</v>
      </c>
      <c r="D65387" s="214" t="s">
        <v>320</v>
      </c>
      <c r="E65387" s="203" t="str">
        <f>CONCATENATE(Dependencias[[#This Row],[CÓDIGO]]," - ",Dependencias[[#This Row],[DEPENDENCIA]])</f>
        <v xml:space="preserve">12104 - GERENCIA LOCAL SAN CRISTÓBAL </v>
      </c>
    </row>
    <row r="65388" spans="1:5" ht="63.75" x14ac:dyDescent="0.25">
      <c r="A65388" s="217" t="s">
        <v>321</v>
      </c>
      <c r="B65388" s="201"/>
      <c r="C65388" s="215">
        <v>12105</v>
      </c>
      <c r="D65388" s="216" t="s">
        <v>322</v>
      </c>
      <c r="E65388" s="203" t="str">
        <f>CONCATENATE(Dependencias[[#This Row],[CÓDIGO]]," - ",Dependencias[[#This Row],[DEPENDENCIA]])</f>
        <v xml:space="preserve">12105 - GERENCIA LOCAL USME </v>
      </c>
    </row>
    <row r="65389" spans="1:5" ht="25.5" x14ac:dyDescent="0.25">
      <c r="A65389" s="212" t="s">
        <v>323</v>
      </c>
      <c r="B65389" s="201"/>
      <c r="C65389" s="213">
        <v>12106</v>
      </c>
      <c r="D65389" s="214" t="s">
        <v>324</v>
      </c>
      <c r="E65389" s="203" t="str">
        <f>CONCATENATE(Dependencias[[#This Row],[CÓDIGO]]," - ",Dependencias[[#This Row],[DEPENDENCIA]])</f>
        <v xml:space="preserve">12106 - GERENCIA LOCAL TUNJUELLTO </v>
      </c>
    </row>
    <row r="65390" spans="1:5" ht="25.5" x14ac:dyDescent="0.25">
      <c r="A65390" s="212" t="s">
        <v>325</v>
      </c>
      <c r="B65390" s="201"/>
      <c r="C65390" s="215">
        <v>12107</v>
      </c>
      <c r="D65390" s="216" t="s">
        <v>326</v>
      </c>
      <c r="E65390" s="203" t="str">
        <f>CONCATENATE(Dependencias[[#This Row],[CÓDIGO]]," - ",Dependencias[[#This Row],[DEPENDENCIA]])</f>
        <v xml:space="preserve">12107 - GERENCIA LOCAL BOSA </v>
      </c>
    </row>
    <row r="65391" spans="1:5" ht="25.5" x14ac:dyDescent="0.25">
      <c r="A65391" s="212" t="s">
        <v>327</v>
      </c>
      <c r="B65391" s="201"/>
      <c r="C65391" s="213">
        <v>12108</v>
      </c>
      <c r="D65391" s="214" t="s">
        <v>328</v>
      </c>
      <c r="E65391" s="203" t="str">
        <f>CONCATENATE(Dependencias[[#This Row],[CÓDIGO]]," - ",Dependencias[[#This Row],[DEPENDENCIA]])</f>
        <v xml:space="preserve">12108 - GERENCIA LOCAL KENNEDY </v>
      </c>
    </row>
    <row r="65392" spans="1:5" ht="25.5" x14ac:dyDescent="0.25">
      <c r="A65392" s="212" t="s">
        <v>329</v>
      </c>
      <c r="B65392" s="201"/>
      <c r="C65392" s="215">
        <v>12109</v>
      </c>
      <c r="D65392" s="216" t="s">
        <v>330</v>
      </c>
      <c r="E65392" s="203" t="str">
        <f>CONCATENATE(Dependencias[[#This Row],[CÓDIGO]]," - ",Dependencias[[#This Row],[DEPENDENCIA]])</f>
        <v xml:space="preserve">12109 - GERENCIA LOCAL FONTIBÓN </v>
      </c>
    </row>
    <row r="65393" spans="1:5" ht="25.5" x14ac:dyDescent="0.25">
      <c r="A65393" s="212" t="s">
        <v>331</v>
      </c>
      <c r="B65393" s="201"/>
      <c r="C65393" s="213">
        <v>12110</v>
      </c>
      <c r="D65393" s="214" t="s">
        <v>332</v>
      </c>
      <c r="E65393" s="203" t="str">
        <f>CONCATENATE(Dependencias[[#This Row],[CÓDIGO]]," - ",Dependencias[[#This Row],[DEPENDENCIA]])</f>
        <v xml:space="preserve">12110 - GERENCIA LOCAL ENGATIVÁ </v>
      </c>
    </row>
    <row r="65394" spans="1:5" ht="25.5" x14ac:dyDescent="0.25">
      <c r="A65394" s="212" t="s">
        <v>333</v>
      </c>
      <c r="B65394" s="201"/>
      <c r="C65394" s="215">
        <v>12111</v>
      </c>
      <c r="D65394" s="216" t="s">
        <v>334</v>
      </c>
      <c r="E65394" s="203" t="str">
        <f>CONCATENATE(Dependencias[[#This Row],[CÓDIGO]]," - ",Dependencias[[#This Row],[DEPENDENCIA]])</f>
        <v xml:space="preserve">12111 - GERENCIA LOCAL SUBA </v>
      </c>
    </row>
    <row r="65395" spans="1:5" ht="25.5" x14ac:dyDescent="0.25">
      <c r="A65395" s="212" t="s">
        <v>335</v>
      </c>
      <c r="B65395" s="201"/>
      <c r="C65395" s="213">
        <v>12112</v>
      </c>
      <c r="D65395" s="214" t="s">
        <v>336</v>
      </c>
      <c r="E65395" s="203" t="str">
        <f>CONCATENATE(Dependencias[[#This Row],[CÓDIGO]]," - ",Dependencias[[#This Row],[DEPENDENCIA]])</f>
        <v xml:space="preserve">12112 - GERENCIA LOCAL BARRIOS UNIDOS </v>
      </c>
    </row>
    <row r="65396" spans="1:5" ht="25.5" x14ac:dyDescent="0.25">
      <c r="A65396" s="212" t="s">
        <v>337</v>
      </c>
      <c r="B65396" s="201"/>
      <c r="C65396" s="215">
        <v>12113</v>
      </c>
      <c r="D65396" s="216" t="s">
        <v>338</v>
      </c>
      <c r="E65396" s="203" t="str">
        <f>CONCATENATE(Dependencias[[#This Row],[CÓDIGO]]," - ",Dependencias[[#This Row],[DEPENDENCIA]])</f>
        <v xml:space="preserve">12113 - GERENCIA LOCAL TEUSAQUILLO </v>
      </c>
    </row>
    <row r="65397" spans="1:5" ht="25.5" x14ac:dyDescent="0.25">
      <c r="A65397" s="212" t="s">
        <v>339</v>
      </c>
      <c r="B65397" s="201"/>
      <c r="C65397" s="213">
        <v>12114</v>
      </c>
      <c r="D65397" s="214" t="s">
        <v>340</v>
      </c>
      <c r="E65397" s="203" t="str">
        <f>CONCATENATE(Dependencias[[#This Row],[CÓDIGO]]," - ",Dependencias[[#This Row],[DEPENDENCIA]])</f>
        <v xml:space="preserve">12114 - GERENCIA LOCAL MÁRTIRES </v>
      </c>
    </row>
    <row r="65398" spans="1:5" ht="25.5" x14ac:dyDescent="0.25">
      <c r="A65398" s="212" t="s">
        <v>341</v>
      </c>
      <c r="B65398" s="201"/>
      <c r="C65398" s="215">
        <v>12115</v>
      </c>
      <c r="D65398" s="216" t="s">
        <v>342</v>
      </c>
      <c r="E65398" s="203" t="str">
        <f>CONCATENATE(Dependencias[[#This Row],[CÓDIGO]]," - ",Dependencias[[#This Row],[DEPENDENCIA]])</f>
        <v>12115 - GERENCIA LOCAL ANTONIO NARIÑO</v>
      </c>
    </row>
    <row r="65399" spans="1:5" ht="25.5" x14ac:dyDescent="0.25">
      <c r="A65399" s="212" t="s">
        <v>343</v>
      </c>
      <c r="B65399" s="201"/>
      <c r="C65399" s="213">
        <v>12116</v>
      </c>
      <c r="D65399" s="214" t="s">
        <v>344</v>
      </c>
      <c r="E65399" s="203" t="str">
        <f>CONCATENATE(Dependencias[[#This Row],[CÓDIGO]]," - ",Dependencias[[#This Row],[DEPENDENCIA]])</f>
        <v xml:space="preserve">12116 - GERENCIA LOCAL PUENTE ARANDA </v>
      </c>
    </row>
    <row r="65400" spans="1:5" ht="38.25" x14ac:dyDescent="0.25">
      <c r="A65400" s="212" t="s">
        <v>345</v>
      </c>
      <c r="B65400" s="201"/>
      <c r="C65400" s="215">
        <v>12117</v>
      </c>
      <c r="D65400" s="216" t="s">
        <v>346</v>
      </c>
      <c r="E65400" s="203" t="str">
        <f>CONCATENATE(Dependencias[[#This Row],[CÓDIGO]]," - ",Dependencias[[#This Row],[DEPENDENCIA]])</f>
        <v xml:space="preserve">12117 - GERENCIA LOCAL LA CANDELARIA </v>
      </c>
    </row>
    <row r="65401" spans="1:5" ht="25.5" x14ac:dyDescent="0.25">
      <c r="A65401" s="212" t="s">
        <v>347</v>
      </c>
      <c r="B65401" s="201"/>
      <c r="C65401" s="213">
        <v>12118</v>
      </c>
      <c r="D65401" s="214" t="s">
        <v>348</v>
      </c>
      <c r="E65401" s="203" t="str">
        <f>CONCATENATE(Dependencias[[#This Row],[CÓDIGO]]," - ",Dependencias[[#This Row],[DEPENDENCIA]])</f>
        <v>12118 - GERENCIA LOCAL RAFAEL URIBE URIBE</v>
      </c>
    </row>
    <row r="65402" spans="1:5" ht="38.25" x14ac:dyDescent="0.25">
      <c r="A65402" s="212" t="s">
        <v>349</v>
      </c>
      <c r="B65402" s="201"/>
      <c r="C65402" s="215">
        <v>12119</v>
      </c>
      <c r="D65402" s="216" t="s">
        <v>350</v>
      </c>
      <c r="E65402" s="203" t="str">
        <f>CONCATENATE(Dependencias[[#This Row],[CÓDIGO]]," - ",Dependencias[[#This Row],[DEPENDENCIA]])</f>
        <v xml:space="preserve">12119 - GERENCIA LOCAL CIUDAD BOLIVAR </v>
      </c>
    </row>
    <row r="65403" spans="1:5" ht="25.5" x14ac:dyDescent="0.25">
      <c r="A65403" s="212" t="s">
        <v>351</v>
      </c>
      <c r="B65403" s="201"/>
      <c r="C65403" s="213">
        <v>12120</v>
      </c>
      <c r="D65403" s="214" t="s">
        <v>352</v>
      </c>
      <c r="E65403" s="203" t="str">
        <f>CONCATENATE(Dependencias[[#This Row],[CÓDIGO]]," - ",Dependencias[[#This Row],[DEPENDENCIA]])</f>
        <v xml:space="preserve">12120 - GERENCIA LOCAL SUMAPAZ </v>
      </c>
    </row>
    <row r="65404" spans="1:5" ht="25.5" x14ac:dyDescent="0.25">
      <c r="A65404" s="212" t="s">
        <v>353</v>
      </c>
      <c r="B65404" s="201"/>
      <c r="C65404" s="215">
        <v>130000</v>
      </c>
      <c r="D65404" s="216" t="s">
        <v>354</v>
      </c>
      <c r="E65404" s="203" t="str">
        <f>CONCATENATE(Dependencias[[#This Row],[CÓDIGO]]," - ",Dependencias[[#This Row],[DEPENDENCIA]])</f>
        <v xml:space="preserve">130000 - DIRECCIÓN SECTOR HÁBITAT Y AMBIENTE </v>
      </c>
    </row>
    <row r="65405" spans="1:5" ht="25.5" x14ac:dyDescent="0.25">
      <c r="A65405" s="212" t="s">
        <v>355</v>
      </c>
      <c r="B65405" s="201"/>
      <c r="C65405" s="213">
        <v>140000</v>
      </c>
      <c r="D65405" s="214" t="s">
        <v>356</v>
      </c>
      <c r="E65405" s="203" t="str">
        <f>CONCATENATE(Dependencias[[#This Row],[CÓDIGO]]," - ",Dependencias[[#This Row],[DEPENDENCIA]])</f>
        <v xml:space="preserve">140000 - DIRECCIÓN SECTOR EDUCACIÓN </v>
      </c>
    </row>
    <row r="65406" spans="1:5" ht="25.5" x14ac:dyDescent="0.25">
      <c r="A65406" s="212" t="s">
        <v>357</v>
      </c>
      <c r="B65406" s="201"/>
      <c r="C65406" s="215">
        <v>150000</v>
      </c>
      <c r="D65406" s="216" t="s">
        <v>358</v>
      </c>
      <c r="E65406" s="203" t="str">
        <f>CONCATENATE(Dependencias[[#This Row],[CÓDIGO]]," - ",Dependencias[[#This Row],[DEPENDENCIA]])</f>
        <v xml:space="preserve">150000 - DIRECCIÓN SECTOR HACIENDA </v>
      </c>
    </row>
    <row r="65407" spans="1:5" ht="25.5" x14ac:dyDescent="0.25">
      <c r="A65407" s="212" t="s">
        <v>359</v>
      </c>
      <c r="B65407" s="201"/>
      <c r="C65407" s="213">
        <v>190000</v>
      </c>
      <c r="D65407" s="214" t="s">
        <v>360</v>
      </c>
      <c r="E65407" s="203" t="str">
        <f>CONCATENATE(Dependencias[[#This Row],[CÓDIGO]]," - ",Dependencias[[#This Row],[DEPENDENCIA]])</f>
        <v xml:space="preserve">190000 - DIRECCIÓN SECTOR DESARROLLO ECONÓMICO, INDUSTRIA Y TURISMO </v>
      </c>
    </row>
    <row r="65408" spans="1:5" ht="25.5" x14ac:dyDescent="0.25">
      <c r="A65408" s="212" t="s">
        <v>361</v>
      </c>
      <c r="B65408" s="201"/>
      <c r="C65408" s="215">
        <v>200000</v>
      </c>
      <c r="D65408" s="216" t="s">
        <v>362</v>
      </c>
      <c r="E65408" s="203" t="str">
        <f>CONCATENATE(Dependencias[[#This Row],[CÓDIGO]]," - ",Dependencias[[#This Row],[DEPENDENCIA]])</f>
        <v xml:space="preserve">200000 - DIRECCIÓN SECTOR INTEGRACIÓN SOCIAL </v>
      </c>
    </row>
    <row r="65409" spans="1:5" ht="25.5" x14ac:dyDescent="0.25">
      <c r="A65409" s="212" t="s">
        <v>363</v>
      </c>
      <c r="B65409" s="201"/>
      <c r="C65409" s="213">
        <v>210000</v>
      </c>
      <c r="D65409" s="214" t="s">
        <v>364</v>
      </c>
      <c r="E65409" s="203" t="str">
        <f>CONCATENATE(Dependencias[[#This Row],[CÓDIGO]]," - ",Dependencias[[#This Row],[DEPENDENCIA]])</f>
        <v xml:space="preserve">210000 - DIRECCIÓN SECTOR SERVICIOS PÚBLICOS </v>
      </c>
    </row>
    <row r="65410" spans="1:5" ht="25.5" x14ac:dyDescent="0.25">
      <c r="A65410" s="212" t="s">
        <v>365</v>
      </c>
      <c r="B65410" s="201"/>
      <c r="C65410" s="215">
        <v>220000</v>
      </c>
      <c r="D65410" s="216" t="s">
        <v>366</v>
      </c>
      <c r="E65410" s="203" t="str">
        <f>CONCATENATE(Dependencias[[#This Row],[CÓDIGO]]," - ",Dependencias[[#This Row],[DEPENDENCIA]])</f>
        <v xml:space="preserve">220000 - DIRECCIÓN SECTOR CULTURA, RECREACIÓN Y DEPORTE </v>
      </c>
    </row>
    <row r="65411" spans="1:5" ht="25.5" x14ac:dyDescent="0.25">
      <c r="A65411" s="212" t="s">
        <v>367</v>
      </c>
      <c r="B65411" s="201"/>
      <c r="C65411" s="213">
        <v>230000</v>
      </c>
      <c r="D65411" s="214" t="s">
        <v>368</v>
      </c>
      <c r="E65411" s="203" t="str">
        <f>CONCATENATE(Dependencias[[#This Row],[CÓDIGO]]," - ",Dependencias[[#This Row],[DEPENDENCIA]])</f>
        <v>230000 - DIRECCIÓN SECTOR SEGURIDAD, CONVIVENCIA Y JUSTICIA</v>
      </c>
    </row>
    <row r="65412" spans="1:5" ht="25.5" x14ac:dyDescent="0.25">
      <c r="A65412" s="212" t="s">
        <v>369</v>
      </c>
      <c r="B65412" s="201"/>
      <c r="C65412" s="213">
        <v>80000</v>
      </c>
      <c r="D65412" s="214" t="s">
        <v>370</v>
      </c>
      <c r="E65412" s="203" t="str">
        <f>CONCATENATE(Dependencias[[#This Row],[CÓDIGO]]," - ",Dependencias[[#This Row],[DEPENDENCIA]])</f>
        <v xml:space="preserve">80000 - DIRECCIÓN SECTOR MOVILIDAD </v>
      </c>
    </row>
    <row r="65413" spans="1:5" ht="25.5" x14ac:dyDescent="0.25">
      <c r="A65413" s="212" t="s">
        <v>371</v>
      </c>
      <c r="B65413" s="201"/>
      <c r="C65413" s="218">
        <v>90000</v>
      </c>
      <c r="D65413" s="219" t="s">
        <v>372</v>
      </c>
      <c r="E65413" s="203" t="str">
        <f>CONCATENATE(Dependencias[[#This Row],[CÓDIGO]]," - ",Dependencias[[#This Row],[DEPENDENCIA]])</f>
        <v xml:space="preserve">90000 - DIRECCIÓN SECTOR GESTIÓN JURIDICA </v>
      </c>
    </row>
    <row r="65414" spans="1:5" ht="25.5" x14ac:dyDescent="0.25">
      <c r="A65414" s="212" t="s">
        <v>373</v>
      </c>
      <c r="B65414" s="201"/>
      <c r="C65414" s="215"/>
      <c r="D65414" s="216"/>
      <c r="E65414" s="203"/>
    </row>
    <row r="65415" spans="1:5" x14ac:dyDescent="0.25">
      <c r="A65415" s="212" t="s">
        <v>374</v>
      </c>
      <c r="B65415" s="201"/>
      <c r="C65415" s="204"/>
      <c r="D65415" s="201"/>
      <c r="E65415" s="202"/>
    </row>
    <row r="65416" spans="1:5" ht="25.5" x14ac:dyDescent="0.25">
      <c r="A65416" s="212" t="s">
        <v>375</v>
      </c>
      <c r="B65416" s="201"/>
      <c r="C65416" s="204"/>
      <c r="D65416" s="201"/>
      <c r="E65416" s="202"/>
    </row>
    <row r="65417" spans="1:5" ht="25.5" x14ac:dyDescent="0.25">
      <c r="A65417" s="212" t="s">
        <v>376</v>
      </c>
      <c r="B65417" s="201"/>
      <c r="C65417" s="204"/>
      <c r="D65417" s="201"/>
      <c r="E65417" s="202"/>
    </row>
    <row r="65418" spans="1:5" x14ac:dyDescent="0.25">
      <c r="A65418" s="212" t="s">
        <v>377</v>
      </c>
      <c r="B65418" s="201"/>
      <c r="C65418" s="204"/>
      <c r="D65418" s="201"/>
      <c r="E65418" s="202"/>
    </row>
    <row r="65419" spans="1:5" ht="38.25" x14ac:dyDescent="0.25">
      <c r="A65419" s="212" t="s">
        <v>378</v>
      </c>
      <c r="B65419" s="201"/>
      <c r="C65419" s="204"/>
      <c r="D65419" s="201"/>
      <c r="E65419" s="202"/>
    </row>
    <row r="65420" spans="1:5" x14ac:dyDescent="0.25">
      <c r="A65420" s="212" t="s">
        <v>379</v>
      </c>
      <c r="B65420" s="201"/>
      <c r="C65420" s="204"/>
      <c r="D65420" s="201"/>
      <c r="E65420" s="202"/>
    </row>
    <row r="65421" spans="1:5" x14ac:dyDescent="0.25">
      <c r="A65421" s="212" t="s">
        <v>380</v>
      </c>
      <c r="B65421" s="201"/>
      <c r="C65421" s="204"/>
      <c r="D65421" s="201"/>
      <c r="E65421" s="202"/>
    </row>
    <row r="65422" spans="1:5" x14ac:dyDescent="0.25">
      <c r="A65422" s="212" t="s">
        <v>381</v>
      </c>
      <c r="B65422" s="201"/>
      <c r="C65422" s="204"/>
      <c r="D65422" s="201"/>
      <c r="E65422" s="202"/>
    </row>
    <row r="65423" spans="1:5" x14ac:dyDescent="0.25">
      <c r="A65423" s="212" t="s">
        <v>382</v>
      </c>
      <c r="B65423" s="201"/>
      <c r="C65423" s="204"/>
      <c r="D65423" s="201"/>
      <c r="E65423" s="202"/>
    </row>
    <row r="65424" spans="1:5" ht="25.5" x14ac:dyDescent="0.25">
      <c r="A65424" s="212" t="s">
        <v>383</v>
      </c>
      <c r="B65424" s="201"/>
      <c r="C65424" s="204"/>
      <c r="D65424" s="201"/>
      <c r="E65424" s="202"/>
    </row>
    <row r="65425" spans="1:5" ht="25.5" x14ac:dyDescent="0.25">
      <c r="A65425" s="212" t="s">
        <v>384</v>
      </c>
      <c r="B65425" s="201"/>
      <c r="C65425" s="204"/>
      <c r="D65425" s="201"/>
      <c r="E65425" s="202"/>
    </row>
    <row r="65426" spans="1:5" ht="38.25" x14ac:dyDescent="0.25">
      <c r="A65426" s="212" t="s">
        <v>385</v>
      </c>
      <c r="B65426" s="201"/>
      <c r="C65426" s="204"/>
      <c r="D65426" s="201"/>
      <c r="E65426" s="202"/>
    </row>
    <row r="65427" spans="1:5" ht="25.5" x14ac:dyDescent="0.25">
      <c r="A65427" s="212" t="s">
        <v>386</v>
      </c>
      <c r="B65427" s="201"/>
      <c r="C65427" s="204"/>
      <c r="D65427" s="201"/>
      <c r="E65427" s="202"/>
    </row>
    <row r="65428" spans="1:5" ht="25.5" x14ac:dyDescent="0.25">
      <c r="A65428" s="212" t="s">
        <v>387</v>
      </c>
      <c r="B65428" s="201"/>
      <c r="C65428" s="204"/>
      <c r="D65428" s="201"/>
      <c r="E65428" s="202"/>
    </row>
    <row r="65429" spans="1:5" ht="25.5" x14ac:dyDescent="0.25">
      <c r="A65429" s="212" t="s">
        <v>388</v>
      </c>
      <c r="B65429" s="201"/>
      <c r="C65429" s="204"/>
      <c r="D65429" s="201"/>
      <c r="E65429" s="202"/>
    </row>
    <row r="65430" spans="1:5" ht="38.25" x14ac:dyDescent="0.25">
      <c r="A65430" s="212" t="s">
        <v>389</v>
      </c>
      <c r="B65430" s="201"/>
      <c r="C65430" s="204"/>
      <c r="D65430" s="201"/>
      <c r="E65430" s="202"/>
    </row>
    <row r="65431" spans="1:5" ht="38.25" x14ac:dyDescent="0.25">
      <c r="A65431" s="212" t="s">
        <v>390</v>
      </c>
      <c r="B65431" s="201"/>
      <c r="C65431" s="204"/>
      <c r="D65431" s="201"/>
      <c r="E65431" s="202"/>
    </row>
    <row r="65432" spans="1:5" ht="25.5" x14ac:dyDescent="0.25">
      <c r="A65432" s="212" t="s">
        <v>391</v>
      </c>
      <c r="B65432" s="201"/>
      <c r="C65432" s="204"/>
      <c r="D65432" s="201"/>
      <c r="E65432" s="202"/>
    </row>
    <row r="65433" spans="1:5" ht="25.5" x14ac:dyDescent="0.25">
      <c r="A65433" s="212" t="s">
        <v>392</v>
      </c>
      <c r="B65433" s="201"/>
      <c r="C65433" s="204"/>
      <c r="D65433" s="201"/>
      <c r="E65433" s="202"/>
    </row>
    <row r="65434" spans="1:5" ht="25.5" x14ac:dyDescent="0.25">
      <c r="A65434" s="212" t="s">
        <v>393</v>
      </c>
      <c r="B65434" s="201"/>
      <c r="C65434" s="204"/>
      <c r="D65434" s="201"/>
      <c r="E65434" s="202"/>
    </row>
    <row r="65435" spans="1:5" ht="38.25" x14ac:dyDescent="0.25">
      <c r="A65435" s="212" t="s">
        <v>394</v>
      </c>
      <c r="B65435" s="201"/>
      <c r="C65435" s="204"/>
      <c r="D65435" s="201"/>
      <c r="E65435" s="202"/>
    </row>
    <row r="65436" spans="1:5" ht="25.5" x14ac:dyDescent="0.25">
      <c r="A65436" s="212" t="s">
        <v>395</v>
      </c>
      <c r="B65436" s="201"/>
      <c r="C65436" s="204"/>
      <c r="D65436" s="201"/>
      <c r="E65436" s="202"/>
    </row>
    <row r="65437" spans="1:5" ht="25.5" x14ac:dyDescent="0.25">
      <c r="A65437" s="212" t="s">
        <v>396</v>
      </c>
      <c r="B65437" s="201"/>
      <c r="C65437" s="204"/>
      <c r="D65437" s="201"/>
      <c r="E65437" s="202"/>
    </row>
    <row r="65438" spans="1:5" ht="25.5" x14ac:dyDescent="0.25">
      <c r="A65438" s="212" t="s">
        <v>397</v>
      </c>
      <c r="B65438" s="201"/>
      <c r="C65438" s="204"/>
      <c r="D65438" s="201"/>
      <c r="E65438" s="202"/>
    </row>
    <row r="65439" spans="1:5" x14ac:dyDescent="0.25">
      <c r="A65439" s="212" t="s">
        <v>398</v>
      </c>
      <c r="B65439" s="201"/>
      <c r="C65439" s="204"/>
      <c r="D65439" s="201"/>
      <c r="E65439" s="202"/>
    </row>
    <row r="65440" spans="1:5" x14ac:dyDescent="0.25">
      <c r="A65440" s="212" t="s">
        <v>399</v>
      </c>
      <c r="B65440" s="201"/>
      <c r="C65440" s="204"/>
      <c r="D65440" s="201"/>
      <c r="E65440" s="202"/>
    </row>
    <row r="65441" spans="1:5" ht="25.5" x14ac:dyDescent="0.25">
      <c r="A65441" s="212" t="s">
        <v>400</v>
      </c>
      <c r="B65441" s="201"/>
      <c r="C65441" s="204"/>
      <c r="D65441" s="201"/>
      <c r="E65441" s="202"/>
    </row>
    <row r="65442" spans="1:5" ht="38.25" x14ac:dyDescent="0.25">
      <c r="A65442" s="212" t="s">
        <v>401</v>
      </c>
      <c r="B65442" s="201"/>
      <c r="C65442" s="204"/>
      <c r="D65442" s="201"/>
      <c r="E65442" s="202"/>
    </row>
    <row r="65443" spans="1:5" x14ac:dyDescent="0.25">
      <c r="A65443" s="212" t="s">
        <v>402</v>
      </c>
      <c r="B65443" s="201"/>
      <c r="C65443" s="204"/>
      <c r="D65443" s="201"/>
      <c r="E65443" s="202"/>
    </row>
    <row r="65444" spans="1:5" ht="38.25" x14ac:dyDescent="0.25">
      <c r="A65444" s="212" t="s">
        <v>403</v>
      </c>
      <c r="B65444" s="201"/>
      <c r="C65444" s="204"/>
      <c r="D65444" s="201"/>
      <c r="E65444" s="202"/>
    </row>
    <row r="65445" spans="1:5" x14ac:dyDescent="0.25">
      <c r="A65445" s="212" t="s">
        <v>404</v>
      </c>
      <c r="B65445" s="201"/>
      <c r="C65445" s="204"/>
      <c r="D65445" s="201"/>
      <c r="E65445" s="202"/>
    </row>
    <row r="65446" spans="1:5" ht="25.5" x14ac:dyDescent="0.25">
      <c r="A65446" s="212" t="s">
        <v>120</v>
      </c>
      <c r="B65446" s="201"/>
      <c r="C65446" s="204"/>
      <c r="D65446" s="201"/>
      <c r="E65446" s="202"/>
    </row>
    <row r="65447" spans="1:5" ht="25.5" x14ac:dyDescent="0.25">
      <c r="A65447" s="212" t="s">
        <v>405</v>
      </c>
      <c r="B65447" s="201"/>
      <c r="C65447" s="204"/>
      <c r="D65447" s="201"/>
      <c r="E65447" s="202"/>
    </row>
    <row r="65448" spans="1:5" x14ac:dyDescent="0.25">
      <c r="A65448" s="212" t="s">
        <v>406</v>
      </c>
      <c r="B65448" s="201"/>
      <c r="C65448" s="204"/>
      <c r="D65448" s="201"/>
      <c r="E65448" s="202"/>
    </row>
    <row r="65449" spans="1:5" ht="38.25" x14ac:dyDescent="0.25">
      <c r="A65449" s="212" t="s">
        <v>407</v>
      </c>
      <c r="B65449" s="201"/>
      <c r="C65449" s="204"/>
      <c r="D65449" s="201"/>
      <c r="E65449" s="202"/>
    </row>
    <row r="65450" spans="1:5" ht="25.5" x14ac:dyDescent="0.25">
      <c r="A65450" s="212" t="s">
        <v>408</v>
      </c>
      <c r="B65450" s="201"/>
      <c r="C65450" s="204"/>
      <c r="D65450" s="201"/>
      <c r="E65450" s="202"/>
    </row>
    <row r="65451" spans="1:5" ht="25.5" x14ac:dyDescent="0.25">
      <c r="A65451" s="212" t="s">
        <v>409</v>
      </c>
      <c r="B65451" s="201"/>
      <c r="C65451" s="204"/>
      <c r="D65451" s="201"/>
      <c r="E65451" s="202"/>
    </row>
    <row r="65452" spans="1:5" ht="25.5" x14ac:dyDescent="0.25">
      <c r="A65452" s="212" t="s">
        <v>410</v>
      </c>
      <c r="B65452" s="201"/>
      <c r="C65452" s="204"/>
      <c r="D65452" s="201"/>
      <c r="E65452" s="202"/>
    </row>
    <row r="65453" spans="1:5" ht="25.5" x14ac:dyDescent="0.25">
      <c r="A65453" s="212" t="s">
        <v>411</v>
      </c>
      <c r="B65453" s="201"/>
      <c r="C65453" s="204"/>
      <c r="D65453" s="201"/>
      <c r="E65453" s="202"/>
    </row>
    <row r="65454" spans="1:5" ht="25.5" x14ac:dyDescent="0.25">
      <c r="A65454" s="212" t="s">
        <v>412</v>
      </c>
      <c r="B65454" s="201"/>
      <c r="C65454" s="204"/>
      <c r="D65454" s="201"/>
      <c r="E65454" s="202"/>
    </row>
    <row r="65455" spans="1:5" ht="38.25" x14ac:dyDescent="0.25">
      <c r="A65455" s="212" t="s">
        <v>413</v>
      </c>
      <c r="B65455" s="201"/>
      <c r="C65455" s="204"/>
      <c r="D65455" s="201"/>
      <c r="E65455" s="202"/>
    </row>
    <row r="65456" spans="1:5" ht="38.25" x14ac:dyDescent="0.25">
      <c r="A65456" s="212" t="s">
        <v>414</v>
      </c>
      <c r="B65456" s="201"/>
      <c r="C65456" s="204"/>
      <c r="D65456" s="201"/>
      <c r="E65456" s="202"/>
    </row>
    <row r="65457" spans="1:5" ht="25.5" x14ac:dyDescent="0.25">
      <c r="A65457" s="212" t="s">
        <v>415</v>
      </c>
      <c r="B65457" s="201"/>
      <c r="C65457" s="204"/>
      <c r="D65457" s="201"/>
      <c r="E65457" s="202"/>
    </row>
    <row r="65458" spans="1:5" x14ac:dyDescent="0.25">
      <c r="A65458" s="212" t="s">
        <v>416</v>
      </c>
      <c r="B65458" s="201"/>
      <c r="C65458" s="204"/>
      <c r="D65458" s="201"/>
      <c r="E65458" s="202"/>
    </row>
    <row r="65459" spans="1:5" x14ac:dyDescent="0.25">
      <c r="A65459" s="212" t="s">
        <v>417</v>
      </c>
      <c r="B65459" s="201"/>
      <c r="C65459" s="204"/>
      <c r="D65459" s="201"/>
      <c r="E65459" s="202"/>
    </row>
    <row r="65460" spans="1:5" ht="38.25" x14ac:dyDescent="0.25">
      <c r="A65460" s="212" t="s">
        <v>418</v>
      </c>
      <c r="B65460" s="201"/>
      <c r="C65460" s="204"/>
      <c r="D65460" s="201"/>
      <c r="E65460" s="202"/>
    </row>
    <row r="65461" spans="1:5" ht="38.25" x14ac:dyDescent="0.25">
      <c r="A65461" s="212" t="s">
        <v>419</v>
      </c>
      <c r="B65461" s="201"/>
      <c r="C65461" s="204"/>
      <c r="D65461" s="201"/>
      <c r="E65461" s="202"/>
    </row>
    <row r="65462" spans="1:5" ht="25.5" x14ac:dyDescent="0.25">
      <c r="A65462" s="212" t="s">
        <v>420</v>
      </c>
      <c r="B65462" s="201"/>
      <c r="C65462" s="204"/>
      <c r="D65462" s="201"/>
      <c r="E65462" s="202"/>
    </row>
    <row r="65463" spans="1:5" ht="25.5" x14ac:dyDescent="0.25">
      <c r="A65463" s="212" t="s">
        <v>421</v>
      </c>
      <c r="B65463" s="201"/>
      <c r="C65463" s="204"/>
      <c r="D65463" s="201"/>
      <c r="E65463" s="202"/>
    </row>
    <row r="65464" spans="1:5" x14ac:dyDescent="0.25">
      <c r="A65464" s="212" t="s">
        <v>422</v>
      </c>
      <c r="B65464" s="201"/>
      <c r="C65464" s="204"/>
      <c r="D65464" s="201"/>
      <c r="E65464" s="202"/>
    </row>
    <row r="65465" spans="1:5" ht="38.25" x14ac:dyDescent="0.25">
      <c r="A65465" s="212" t="s">
        <v>423</v>
      </c>
      <c r="B65465" s="201"/>
      <c r="C65465" s="204"/>
      <c r="D65465" s="201"/>
      <c r="E65465" s="202"/>
    </row>
    <row r="65466" spans="1:5" ht="51" x14ac:dyDescent="0.25">
      <c r="A65466" s="212" t="s">
        <v>424</v>
      </c>
      <c r="B65466" s="201"/>
      <c r="C65466" s="204"/>
      <c r="D65466" s="201"/>
      <c r="E65466" s="202"/>
    </row>
    <row r="65467" spans="1:5" ht="25.5" x14ac:dyDescent="0.25">
      <c r="A65467" s="212" t="s">
        <v>425</v>
      </c>
      <c r="B65467" s="201"/>
      <c r="C65467" s="204"/>
      <c r="D65467" s="201"/>
      <c r="E65467" s="202"/>
    </row>
    <row r="65468" spans="1:5" ht="25.5" x14ac:dyDescent="0.25">
      <c r="A65468" s="212" t="s">
        <v>426</v>
      </c>
      <c r="B65468" s="201"/>
      <c r="C65468" s="204"/>
      <c r="D65468" s="201"/>
      <c r="E65468" s="202"/>
    </row>
    <row r="65469" spans="1:5" ht="25.5" x14ac:dyDescent="0.25">
      <c r="A65469" s="212" t="s">
        <v>427</v>
      </c>
      <c r="B65469" s="201"/>
      <c r="C65469" s="204"/>
      <c r="D65469" s="201"/>
      <c r="E65469" s="202"/>
    </row>
    <row r="65470" spans="1:5" ht="25.5" x14ac:dyDescent="0.25">
      <c r="A65470" s="212" t="s">
        <v>428</v>
      </c>
      <c r="B65470" s="201"/>
      <c r="C65470" s="204"/>
      <c r="D65470" s="201"/>
      <c r="E65470" s="202"/>
    </row>
    <row r="65471" spans="1:5" x14ac:dyDescent="0.25">
      <c r="A65471" s="212" t="s">
        <v>429</v>
      </c>
      <c r="B65471" s="201"/>
      <c r="C65471" s="204"/>
      <c r="D65471" s="201"/>
      <c r="E65471" s="202"/>
    </row>
    <row r="65472" spans="1:5" ht="38.25" x14ac:dyDescent="0.25">
      <c r="A65472" s="212" t="s">
        <v>430</v>
      </c>
      <c r="B65472" s="201"/>
      <c r="C65472" s="204"/>
      <c r="D65472" s="201"/>
      <c r="E65472" s="202"/>
    </row>
    <row r="65473" spans="1:5" ht="25.5" x14ac:dyDescent="0.25">
      <c r="A65473" s="1238" t="s">
        <v>431</v>
      </c>
      <c r="B65473" s="201"/>
      <c r="C65473" s="204"/>
      <c r="D65473" s="201"/>
      <c r="E65473" s="202"/>
    </row>
    <row r="65474" spans="1:5" ht="25.5" x14ac:dyDescent="0.25">
      <c r="A65474" s="212" t="s">
        <v>432</v>
      </c>
      <c r="B65474" s="201"/>
      <c r="C65474" s="204"/>
      <c r="D65474" s="201"/>
      <c r="E65474" s="202"/>
    </row>
    <row r="65475" spans="1:5" ht="25.5" x14ac:dyDescent="0.25">
      <c r="A65475" s="212" t="s">
        <v>433</v>
      </c>
      <c r="B65475" s="201"/>
      <c r="C65475" s="204"/>
      <c r="D65475" s="201"/>
      <c r="E65475" s="202"/>
    </row>
    <row r="65476" spans="1:5" ht="33" customHeight="1" x14ac:dyDescent="0.25">
      <c r="A65476" s="1238" t="s">
        <v>434</v>
      </c>
      <c r="B65476" s="201"/>
      <c r="C65476" s="204"/>
      <c r="D65476" s="201"/>
      <c r="E65476" s="202"/>
    </row>
    <row r="65477" spans="1:5" x14ac:dyDescent="0.25">
      <c r="A65477" s="207"/>
      <c r="B65477" s="201"/>
      <c r="C65477" s="204"/>
      <c r="D65477" s="201"/>
      <c r="E65477" s="202"/>
    </row>
    <row r="65478" spans="1:5" x14ac:dyDescent="0.25">
      <c r="A65478" s="207"/>
      <c r="B65478" s="201"/>
      <c r="C65478" s="204"/>
      <c r="D65478" s="201"/>
      <c r="E65478" s="202"/>
    </row>
    <row r="65479" spans="1:5" x14ac:dyDescent="0.25">
      <c r="A65479" s="207"/>
      <c r="B65479" s="201"/>
      <c r="C65479" s="204"/>
      <c r="D65479" s="201"/>
      <c r="E65479" s="202"/>
    </row>
    <row r="65480" spans="1:5" x14ac:dyDescent="0.25">
      <c r="A65480" s="207"/>
      <c r="B65480" s="201"/>
      <c r="C65480" s="204"/>
      <c r="D65480" s="201"/>
      <c r="E65480" s="202"/>
    </row>
    <row r="65481" spans="1:5" x14ac:dyDescent="0.25">
      <c r="A65481" s="207"/>
      <c r="B65481" s="201"/>
      <c r="C65481" s="204"/>
      <c r="D65481" s="201"/>
      <c r="E65481" s="202"/>
    </row>
    <row r="65482" spans="1:5" x14ac:dyDescent="0.25">
      <c r="A65482" s="207"/>
      <c r="B65482" s="201"/>
      <c r="C65482" s="204"/>
      <c r="D65482" s="201"/>
      <c r="E65482" s="202"/>
    </row>
    <row r="65483" spans="1:5" x14ac:dyDescent="0.25">
      <c r="A65483" s="220"/>
      <c r="B65483" s="201"/>
      <c r="C65483" s="204"/>
      <c r="D65483" s="201"/>
      <c r="E65483" s="202"/>
    </row>
    <row r="65484" spans="1:5" x14ac:dyDescent="0.25">
      <c r="A65484" s="207"/>
      <c r="B65484" s="201"/>
      <c r="C65484" s="204"/>
      <c r="D65484" s="201"/>
      <c r="E65484" s="202"/>
    </row>
    <row r="65485" spans="1:5" x14ac:dyDescent="0.25">
      <c r="A65485" s="207"/>
      <c r="B65485" s="201"/>
      <c r="C65485" s="204"/>
      <c r="D65485" s="201"/>
      <c r="E65485" s="202"/>
    </row>
    <row r="65486" spans="1:5" x14ac:dyDescent="0.25">
      <c r="A65486" s="207"/>
      <c r="B65486" s="201"/>
      <c r="C65486" s="204"/>
      <c r="D65486" s="201"/>
      <c r="E65486" s="202"/>
    </row>
    <row r="65487" spans="1:5" x14ac:dyDescent="0.25">
      <c r="A65487" s="207"/>
      <c r="B65487" s="201"/>
      <c r="C65487" s="204"/>
      <c r="D65487" s="201"/>
      <c r="E65487" s="202"/>
    </row>
    <row r="65488" spans="1:5" x14ac:dyDescent="0.25">
      <c r="A65488" s="207"/>
      <c r="B65488" s="201"/>
      <c r="C65488" s="204"/>
      <c r="D65488" s="201"/>
      <c r="E65488" s="202"/>
    </row>
    <row r="65489" spans="1:5" x14ac:dyDescent="0.25">
      <c r="A65489" s="207"/>
      <c r="B65489" s="201"/>
      <c r="C65489" s="204"/>
      <c r="D65489" s="201"/>
      <c r="E65489" s="202"/>
    </row>
    <row r="65490" spans="1:5" x14ac:dyDescent="0.25">
      <c r="A65490" s="207"/>
      <c r="B65490" s="201"/>
      <c r="C65490" s="204"/>
      <c r="D65490" s="201"/>
      <c r="E65490" s="202"/>
    </row>
    <row r="65491" spans="1:5" x14ac:dyDescent="0.25">
      <c r="A65491" s="207"/>
      <c r="B65491" s="201"/>
      <c r="C65491" s="204"/>
      <c r="D65491" s="201"/>
      <c r="E65491" s="202"/>
    </row>
    <row r="65492" spans="1:5" x14ac:dyDescent="0.25">
      <c r="A65492" s="207"/>
      <c r="B65492" s="201"/>
      <c r="C65492" s="204"/>
      <c r="D65492" s="201"/>
      <c r="E65492" s="202"/>
    </row>
    <row r="65493" spans="1:5" x14ac:dyDescent="0.25">
      <c r="A65493" s="207"/>
      <c r="B65493" s="201"/>
      <c r="C65493" s="204"/>
      <c r="D65493" s="201"/>
      <c r="E65493" s="202"/>
    </row>
    <row r="65494" spans="1:5" x14ac:dyDescent="0.25">
      <c r="A65494" s="207"/>
      <c r="B65494" s="201"/>
      <c r="C65494" s="204"/>
      <c r="D65494" s="201"/>
      <c r="E65494" s="202"/>
    </row>
    <row r="65495" spans="1:5" x14ac:dyDescent="0.25">
      <c r="A65495" s="207"/>
      <c r="B65495" s="201"/>
      <c r="C65495" s="204"/>
      <c r="D65495" s="201"/>
      <c r="E65495" s="202"/>
    </row>
    <row r="65496" spans="1:5" x14ac:dyDescent="0.25">
      <c r="A65496" s="207"/>
      <c r="B65496" s="201"/>
      <c r="C65496" s="204"/>
      <c r="D65496" s="201"/>
      <c r="E65496" s="202"/>
    </row>
    <row r="65497" spans="1:5" x14ac:dyDescent="0.25">
      <c r="A65497" s="207"/>
      <c r="B65497" s="201"/>
      <c r="C65497" s="204"/>
      <c r="D65497" s="201"/>
      <c r="E65497" s="202"/>
    </row>
    <row r="65498" spans="1:5" x14ac:dyDescent="0.25">
      <c r="A65498" s="207"/>
      <c r="B65498" s="201"/>
      <c r="C65498" s="204"/>
      <c r="D65498" s="201"/>
      <c r="E65498" s="202"/>
    </row>
    <row r="65499" spans="1:5" x14ac:dyDescent="0.25">
      <c r="A65499" s="207"/>
      <c r="B65499" s="201"/>
      <c r="C65499" s="204"/>
      <c r="D65499" s="201"/>
      <c r="E65499" s="202"/>
    </row>
    <row r="65500" spans="1:5" x14ac:dyDescent="0.25">
      <c r="A65500" s="207"/>
      <c r="B65500" s="201"/>
      <c r="C65500" s="204"/>
      <c r="D65500" s="201"/>
      <c r="E65500" s="202"/>
    </row>
    <row r="65501" spans="1:5" x14ac:dyDescent="0.25">
      <c r="A65501" s="207"/>
      <c r="B65501" s="201"/>
      <c r="C65501" s="204"/>
      <c r="D65501" s="201"/>
      <c r="E65501" s="202"/>
    </row>
    <row r="65502" spans="1:5" x14ac:dyDescent="0.25">
      <c r="A65502" s="207"/>
      <c r="B65502" s="201"/>
      <c r="C65502" s="204"/>
      <c r="D65502" s="201"/>
      <c r="E65502" s="202"/>
    </row>
    <row r="65503" spans="1:5" x14ac:dyDescent="0.25">
      <c r="A65503" s="207"/>
      <c r="B65503" s="201"/>
      <c r="C65503" s="204"/>
      <c r="D65503" s="201"/>
      <c r="E65503" s="202"/>
    </row>
    <row r="65504" spans="1:5" x14ac:dyDescent="0.25">
      <c r="A65504" s="207"/>
      <c r="B65504" s="201"/>
      <c r="C65504" s="204"/>
      <c r="D65504" s="201"/>
      <c r="E65504" s="202"/>
    </row>
    <row r="65505" spans="1:57" x14ac:dyDescent="0.25">
      <c r="A65505" s="207"/>
      <c r="B65505" s="201"/>
      <c r="C65505" s="204"/>
      <c r="D65505" s="201"/>
      <c r="E65505" s="202"/>
    </row>
    <row r="65506" spans="1:57" x14ac:dyDescent="0.25">
      <c r="A65506" s="207"/>
      <c r="B65506" s="201"/>
      <c r="C65506" s="204"/>
      <c r="D65506" s="201"/>
      <c r="E65506" s="202"/>
    </row>
    <row r="65507" spans="1:57" x14ac:dyDescent="0.25">
      <c r="A65507" s="207"/>
      <c r="B65507" s="201"/>
      <c r="C65507" s="204"/>
      <c r="D65507" s="201"/>
      <c r="E65507" s="202"/>
    </row>
    <row r="65508" spans="1:57" x14ac:dyDescent="0.25">
      <c r="A65508" s="207"/>
      <c r="B65508" s="201"/>
      <c r="C65508" s="204"/>
      <c r="D65508" s="201"/>
      <c r="E65508" s="202"/>
    </row>
    <row r="65509" spans="1:57" x14ac:dyDescent="0.25">
      <c r="A65509" s="207"/>
      <c r="B65509" s="201"/>
      <c r="C65509" s="204"/>
      <c r="D65509" s="201"/>
      <c r="E65509" s="202"/>
    </row>
    <row r="65510" spans="1:57" x14ac:dyDescent="0.25">
      <c r="A65510" s="207"/>
      <c r="B65510" s="201"/>
      <c r="C65510" s="204"/>
      <c r="D65510" s="201"/>
      <c r="E65510" s="202"/>
    </row>
    <row r="65511" spans="1:57" x14ac:dyDescent="0.25">
      <c r="A65511" s="207"/>
      <c r="B65511" s="201"/>
      <c r="C65511" s="204"/>
      <c r="D65511" s="201"/>
      <c r="E65511" s="202"/>
    </row>
    <row r="65512" spans="1:57" x14ac:dyDescent="0.25">
      <c r="A65512" s="207"/>
      <c r="B65512" s="201"/>
      <c r="C65512" s="204"/>
      <c r="D65512" s="201"/>
      <c r="E65512" s="202"/>
    </row>
    <row r="65513" spans="1:57" ht="15" thickBot="1" x14ac:dyDescent="0.3">
      <c r="A65513" s="221"/>
      <c r="B65513" s="204"/>
      <c r="C65513" s="204"/>
      <c r="D65513" s="202"/>
      <c r="E65513" s="202"/>
      <c r="R65513" s="103"/>
      <c r="BE65513" s="104"/>
    </row>
    <row r="65514" spans="1:57" x14ac:dyDescent="0.25">
      <c r="A65514" s="201"/>
      <c r="B65514" s="204"/>
      <c r="C65514" s="204"/>
      <c r="D65514" s="202"/>
      <c r="E65514" s="202"/>
      <c r="R65514" s="103"/>
      <c r="BE65514" s="104"/>
    </row>
    <row r="65515" spans="1:57" x14ac:dyDescent="0.25">
      <c r="A65515" s="201"/>
      <c r="B65515" s="204"/>
      <c r="C65515" s="204"/>
      <c r="D65515" s="202"/>
      <c r="E65515" s="202"/>
      <c r="R65515" s="103"/>
      <c r="BE65515" s="104"/>
    </row>
    <row r="65516" spans="1:57" x14ac:dyDescent="0.25">
      <c r="A65516" s="201"/>
      <c r="B65516" s="204"/>
      <c r="C65516" s="204"/>
      <c r="D65516" s="202"/>
      <c r="E65516" s="202"/>
      <c r="R65516" s="103"/>
      <c r="BE65516" s="104"/>
    </row>
    <row r="65517" spans="1:57" x14ac:dyDescent="0.25">
      <c r="A65517" s="201"/>
      <c r="B65517" s="204"/>
      <c r="C65517" s="204"/>
      <c r="D65517" s="202"/>
      <c r="E65517" s="202"/>
      <c r="R65517" s="103"/>
      <c r="BE65517" s="104"/>
    </row>
    <row r="65518" spans="1:57" x14ac:dyDescent="0.25">
      <c r="A65518" s="201" t="s">
        <v>460</v>
      </c>
      <c r="B65518" s="204"/>
      <c r="C65518" s="204"/>
      <c r="D65518" s="202"/>
      <c r="E65518" s="202"/>
      <c r="R65518" s="103"/>
      <c r="BE65518" s="104"/>
    </row>
    <row r="65519" spans="1:57" x14ac:dyDescent="0.25">
      <c r="A65519" s="201" t="s">
        <v>435</v>
      </c>
      <c r="B65519" s="204"/>
      <c r="C65519" s="204"/>
      <c r="D65519" s="202"/>
      <c r="E65519" s="202"/>
      <c r="R65519" s="103"/>
      <c r="BE65519" s="104"/>
    </row>
    <row r="65520" spans="1:57" x14ac:dyDescent="0.25">
      <c r="A65520" s="201" t="s">
        <v>436</v>
      </c>
      <c r="B65520" s="204"/>
      <c r="C65520" s="204"/>
      <c r="D65520" s="202"/>
      <c r="E65520" s="202"/>
      <c r="R65520" s="103"/>
      <c r="BE65520" s="104"/>
    </row>
    <row r="65521" spans="1:57" x14ac:dyDescent="0.25">
      <c r="A65521" s="201" t="s">
        <v>437</v>
      </c>
      <c r="B65521" s="204"/>
      <c r="C65521" s="204"/>
      <c r="D65521" s="202"/>
      <c r="E65521" s="202"/>
      <c r="R65521" s="103"/>
      <c r="BE65521" s="104"/>
    </row>
    <row r="65522" spans="1:57" x14ac:dyDescent="0.25">
      <c r="A65522" s="201" t="s">
        <v>197</v>
      </c>
      <c r="B65522" s="204"/>
      <c r="C65522" s="204"/>
      <c r="D65522" s="202"/>
      <c r="E65522" s="202"/>
      <c r="R65522" s="103"/>
      <c r="BE65522" s="104"/>
    </row>
    <row r="65523" spans="1:57" x14ac:dyDescent="0.25">
      <c r="A65523" s="201" t="s">
        <v>438</v>
      </c>
      <c r="B65523" s="201"/>
      <c r="C65523" s="204"/>
      <c r="D65523" s="201"/>
      <c r="E65523" s="202"/>
    </row>
    <row r="65524" spans="1:57" x14ac:dyDescent="0.25">
      <c r="A65524" s="201" t="s">
        <v>198</v>
      </c>
      <c r="B65524" s="201"/>
      <c r="C65524" s="204"/>
      <c r="D65524" s="201"/>
      <c r="E65524" s="202"/>
    </row>
  </sheetData>
  <sheetProtection algorithmName="SHA-512" hashValue="ZONx/UR/+3Vybgyb9cmibt4kZ86fdV0BHNvuMR/oSExwKsHFtj6bVrRDI8nmt43SG9w3WiMf6NkmkAztoKF88w==" saltValue="MDpGB3OYhM4GyhFOCRGvsg==" spinCount="100000" sheet="1" objects="1" scenarios="1"/>
  <mergeCells count="44">
    <mergeCell ref="A13:A14"/>
    <mergeCell ref="B12:C12"/>
    <mergeCell ref="B1:CX1"/>
    <mergeCell ref="A2:D2"/>
    <mergeCell ref="B3:C3"/>
    <mergeCell ref="B4:C4"/>
    <mergeCell ref="B5:C5"/>
    <mergeCell ref="B6:C6"/>
    <mergeCell ref="B7:C7"/>
    <mergeCell ref="B8:C8"/>
    <mergeCell ref="B9:C9"/>
    <mergeCell ref="B10:C10"/>
    <mergeCell ref="B11:C11"/>
    <mergeCell ref="B13:B14"/>
    <mergeCell ref="C13:C14"/>
    <mergeCell ref="D43:D44"/>
    <mergeCell ref="B45:B48"/>
    <mergeCell ref="D45:D46"/>
    <mergeCell ref="B50:B52"/>
    <mergeCell ref="A22:A36"/>
    <mergeCell ref="B26:B28"/>
    <mergeCell ref="B29:B32"/>
    <mergeCell ref="D30:D31"/>
    <mergeCell ref="B33:B36"/>
    <mergeCell ref="D35:D36"/>
    <mergeCell ref="A37:A53"/>
    <mergeCell ref="B37:B44"/>
    <mergeCell ref="D38:D39"/>
    <mergeCell ref="D40:D41"/>
    <mergeCell ref="E106:E110"/>
    <mergeCell ref="B81:D81"/>
    <mergeCell ref="K92:Q92"/>
    <mergeCell ref="L93:Q93"/>
    <mergeCell ref="F94:H94"/>
    <mergeCell ref="L94:M94"/>
    <mergeCell ref="N94:O94"/>
    <mergeCell ref="P94:Q94"/>
    <mergeCell ref="G100:I100"/>
    <mergeCell ref="E102:E105"/>
    <mergeCell ref="A54:A63"/>
    <mergeCell ref="B55:B59"/>
    <mergeCell ref="B62:B63"/>
    <mergeCell ref="A64:A69"/>
    <mergeCell ref="B64:B69"/>
  </mergeCells>
  <conditionalFormatting sqref="B11">
    <cfRule type="containsText" dxfId="54" priority="14" operator="containsText" text="NO">
      <formula>NOT(ISERROR(SEARCH("NO",B11)))</formula>
    </cfRule>
    <cfRule type="containsText" dxfId="53" priority="15" operator="containsText" text="SI">
      <formula>NOT(ISERROR(SEARCH("SI",B11)))</formula>
    </cfRule>
  </conditionalFormatting>
  <conditionalFormatting sqref="B15">
    <cfRule type="cellIs" dxfId="52" priority="19" stopIfTrue="1" operator="equal">
      <formula>"ANTIECONOMICO"</formula>
    </cfRule>
    <cfRule type="containsText" dxfId="51" priority="20" stopIfTrue="1" operator="containsText" text="ECONOMICO">
      <formula>NOT(ISERROR(SEARCH("ECONOMICO",B15)))</formula>
    </cfRule>
  </conditionalFormatting>
  <conditionalFormatting sqref="B16">
    <cfRule type="cellIs" dxfId="50" priority="21" stopIfTrue="1" operator="equal">
      <formula>"EFICAZ"</formula>
    </cfRule>
    <cfRule type="cellIs" dxfId="49" priority="22" stopIfTrue="1" operator="equal">
      <formula>"INEFICAZ"</formula>
    </cfRule>
  </conditionalFormatting>
  <conditionalFormatting sqref="B17">
    <cfRule type="cellIs" dxfId="48" priority="12" operator="equal">
      <formula>"DEFICIENTE"</formula>
    </cfRule>
    <cfRule type="containsText" dxfId="47" priority="13" operator="containsText" text="EFICIENTE">
      <formula>NOT(ISERROR(SEARCH("EFICIENTE",B17)))</formula>
    </cfRule>
  </conditionalFormatting>
  <conditionalFormatting sqref="B18">
    <cfRule type="containsText" dxfId="46" priority="16" operator="containsText" text="MODERADAMENTE EFECTIVO">
      <formula>NOT(ISERROR(SEARCH("MODERADAMENTE EFECTIVO",B18)))</formula>
    </cfRule>
    <cfRule type="containsText" dxfId="45" priority="17" stopIfTrue="1" operator="containsText" text="INEFECTIVO">
      <formula>NOT(ISERROR(SEARCH("INEFECTIVO",B18)))</formula>
    </cfRule>
    <cfRule type="containsText" dxfId="44" priority="18" stopIfTrue="1" operator="containsText" text="EFECTIVO">
      <formula>NOT(ISERROR(SEARCH("EFECTIVO",B18)))</formula>
    </cfRule>
  </conditionalFormatting>
  <conditionalFormatting sqref="F17:L17">
    <cfRule type="containsText" dxfId="43" priority="11" operator="containsText" text="FISCAL">
      <formula>NOT(ISERROR(SEARCH("FISCAL",F17)))</formula>
    </cfRule>
  </conditionalFormatting>
  <conditionalFormatting sqref="F16:CY16 E16:E17">
    <cfRule type="containsText" dxfId="42" priority="24" operator="containsText" text="FISCAL">
      <formula>NOT(ISERROR(SEARCH("FISCAL",E16)))</formula>
    </cfRule>
  </conditionalFormatting>
  <conditionalFormatting sqref="N17:AE17 AG17:CY17">
    <cfRule type="containsText" dxfId="41" priority="23" operator="containsText" text="FISCAL">
      <formula>NOT(ISERROR(SEARCH("FISCAL",N17)))</formula>
    </cfRule>
  </conditionalFormatting>
  <dataValidations count="12">
    <dataValidation type="decimal" allowBlank="1" showInputMessage="1" showErrorMessage="1" error="Cuantía del detrimento de la vigencia evaluada no puedo ser mayor al valor auditado de la vigencia evaluada del contrato" sqref="E17:CY17">
      <formula1>0</formula1>
      <formula2>E9</formula2>
    </dataValidation>
    <dataValidation type="decimal" allowBlank="1" showInputMessage="1" showErrorMessage="1" error="El valor auditado no puede ser mayor al valor del contrato" sqref="E9:CY9">
      <formula1>0</formula1>
      <formula2>E8</formula2>
    </dataValidation>
    <dataValidation allowBlank="1" showInputMessage="1" showErrorMessage="1" error="Cuantía del detrimento no puedo ser mayor al valor auditado del contrato" sqref="E18:CY18"/>
    <dataValidation type="whole" allowBlank="1" showInputMessage="1" showErrorMessage="1" sqref="C65379:C65414">
      <formula1>0</formula1>
      <formula2>99999999999</formula2>
    </dataValidation>
    <dataValidation type="decimal" allowBlank="1" showInputMessage="1" showErrorMessage="1" error="Solo se deben incorporar valores entre 0 a 100 o dejar la celda en blanco. " sqref="E22:CY69">
      <formula1>0</formula1>
      <formula2>1</formula2>
    </dataValidation>
    <dataValidation type="decimal" allowBlank="1" showInputMessage="1" showErrorMessage="1" sqref="E8:CY8 CZ8:XFD10">
      <formula1>0</formula1>
      <formula2>9.99999999999999E+22</formula2>
    </dataValidation>
    <dataValidation type="list" showInputMessage="1" showErrorMessage="1" sqref="E16:CY16">
      <formula1>HALLAZGOS</formula1>
    </dataValidation>
    <dataValidation type="whole" allowBlank="1" showInputMessage="1" showErrorMessage="1" sqref="B7">
      <formula1>0</formula1>
      <formula2>999999999999999</formula2>
    </dataValidation>
    <dataValidation type="list" allowBlank="1" showInputMessage="1" showErrorMessage="1" sqref="E14:CY14">
      <formula1>$A$65518:$A$65524</formula1>
    </dataValidation>
    <dataValidation type="list" allowBlank="1" showInputMessage="1" showErrorMessage="1" sqref="C64:C69">
      <formula1>$E$115:$E$117</formula1>
    </dataValidation>
    <dataValidation type="decimal" allowBlank="1" showInputMessage="1" showErrorMessage="1" error="Cuantía del detrimento no puedo ser mayor al valor total del contrato" sqref="E20:AE20">
      <formula1>0</formula1>
      <formula2>E10</formula2>
    </dataValidation>
    <dataValidation type="list" allowBlank="1" showInputMessage="1" showErrorMessage="1" sqref="E6:CY6">
      <formula1>$B$93:$B$94</formula1>
    </dataValidation>
  </dataValidations>
  <pageMargins left="0.7" right="0.7" top="0.75" bottom="0.75" header="0.3" footer="0.3"/>
  <drawing r:id="rId1"/>
  <legacyDrawing r:id="rId2"/>
  <tableParts count="5">
    <tablePart r:id="rId3"/>
    <tablePart r:id="rId4"/>
    <tablePart r:id="rId5"/>
    <tablePart r:id="rId6"/>
    <tablePart r:id="rId7"/>
  </tablePart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I37"/>
  <sheetViews>
    <sheetView workbookViewId="0">
      <selection activeCell="C22" sqref="C22"/>
    </sheetView>
  </sheetViews>
  <sheetFormatPr baseColWidth="10" defaultColWidth="11.42578125" defaultRowHeight="15" x14ac:dyDescent="0.25"/>
  <cols>
    <col min="1" max="2" width="31.5703125" customWidth="1"/>
    <col min="3" max="3" width="30.7109375" customWidth="1"/>
    <col min="4" max="4" width="32.28515625" style="410" customWidth="1"/>
    <col min="5" max="5" width="5.85546875" customWidth="1"/>
    <col min="6" max="6" width="31.140625" customWidth="1"/>
    <col min="7" max="7" width="28.7109375" customWidth="1"/>
    <col min="8" max="8" width="31.140625" customWidth="1"/>
    <col min="9" max="9" width="23.28515625" customWidth="1"/>
    <col min="10" max="10" width="20" customWidth="1"/>
    <col min="11" max="11" width="18.42578125" customWidth="1"/>
  </cols>
  <sheetData>
    <row r="2" spans="1:9" ht="45" x14ac:dyDescent="0.25">
      <c r="A2" s="934" t="s">
        <v>1702</v>
      </c>
      <c r="B2" s="935" t="s">
        <v>1703</v>
      </c>
      <c r="C2" s="935" t="s">
        <v>1704</v>
      </c>
      <c r="D2" s="935" t="s">
        <v>1705</v>
      </c>
      <c r="F2" s="936" t="s">
        <v>1702</v>
      </c>
      <c r="G2" s="935" t="s">
        <v>1705</v>
      </c>
      <c r="H2" s="935" t="s">
        <v>1706</v>
      </c>
      <c r="I2" s="935" t="s">
        <v>1707</v>
      </c>
    </row>
    <row r="3" spans="1:9" x14ac:dyDescent="0.25">
      <c r="A3" s="937" t="str">
        <f>+CONCATENATE(B3,C3)</f>
        <v>NegativaEfectivo</v>
      </c>
      <c r="B3" s="938" t="s">
        <v>538</v>
      </c>
      <c r="C3" s="939" t="s">
        <v>146</v>
      </c>
      <c r="D3" s="938" t="s">
        <v>1708</v>
      </c>
      <c r="F3" s="940" t="str">
        <f>+CONCATENATE(G3,H3)</f>
        <v>No RazonableNegativa</v>
      </c>
      <c r="G3" s="938" t="s">
        <v>1708</v>
      </c>
      <c r="H3" s="938" t="s">
        <v>538</v>
      </c>
      <c r="I3" s="938" t="s">
        <v>1709</v>
      </c>
    </row>
    <row r="4" spans="1:9" x14ac:dyDescent="0.25">
      <c r="A4" s="937" t="str">
        <f t="shared" ref="A4:A18" si="0">+CONCATENATE(B4,C4)</f>
        <v>NegativaModeradamente Efectivo</v>
      </c>
      <c r="B4" s="938" t="s">
        <v>538</v>
      </c>
      <c r="C4" s="941" t="s">
        <v>143</v>
      </c>
      <c r="D4" s="938" t="s">
        <v>1708</v>
      </c>
      <c r="F4" s="940" t="str">
        <f t="shared" ref="F4:F18" si="1">+CONCATENATE(G4,H4)</f>
        <v>No RazonableAbstención</v>
      </c>
      <c r="G4" s="938" t="s">
        <v>1708</v>
      </c>
      <c r="H4" s="938" t="s">
        <v>544</v>
      </c>
      <c r="I4" s="938" t="s">
        <v>1709</v>
      </c>
    </row>
    <row r="5" spans="1:9" x14ac:dyDescent="0.25">
      <c r="A5" s="937" t="str">
        <f t="shared" si="0"/>
        <v>NegativaInefectivo</v>
      </c>
      <c r="B5" s="938" t="s">
        <v>538</v>
      </c>
      <c r="C5" s="938" t="s">
        <v>131</v>
      </c>
      <c r="D5" s="938" t="s">
        <v>1708</v>
      </c>
      <c r="F5" s="940" t="str">
        <f t="shared" si="1"/>
        <v>No RazonableCon Salvedades</v>
      </c>
      <c r="G5" s="938" t="s">
        <v>1708</v>
      </c>
      <c r="H5" s="941" t="s">
        <v>534</v>
      </c>
      <c r="I5" s="938" t="s">
        <v>1709</v>
      </c>
    </row>
    <row r="6" spans="1:9" x14ac:dyDescent="0.25">
      <c r="A6" s="937" t="str">
        <f t="shared" si="0"/>
        <v>NegativaNO APLICA</v>
      </c>
      <c r="B6" s="938" t="s">
        <v>538</v>
      </c>
      <c r="C6" s="942" t="s">
        <v>460</v>
      </c>
      <c r="D6" s="938" t="s">
        <v>1708</v>
      </c>
      <c r="F6" s="940" t="str">
        <f t="shared" si="1"/>
        <v>No RazonableLimpia o Sin Salvedades</v>
      </c>
      <c r="G6" s="938" t="s">
        <v>1708</v>
      </c>
      <c r="H6" s="939" t="s">
        <v>529</v>
      </c>
      <c r="I6" s="938" t="s">
        <v>1709</v>
      </c>
    </row>
    <row r="7" spans="1:9" x14ac:dyDescent="0.25">
      <c r="A7" s="937" t="str">
        <f t="shared" si="0"/>
        <v>AbstenciónEfectivo</v>
      </c>
      <c r="B7" s="938" t="s">
        <v>544</v>
      </c>
      <c r="C7" s="939" t="s">
        <v>146</v>
      </c>
      <c r="D7" s="938" t="s">
        <v>544</v>
      </c>
      <c r="F7" s="940" t="str">
        <f t="shared" si="1"/>
        <v>AbstenciónNegativa</v>
      </c>
      <c r="G7" s="938" t="s">
        <v>544</v>
      </c>
      <c r="H7" s="938" t="s">
        <v>538</v>
      </c>
      <c r="I7" s="938" t="s">
        <v>1709</v>
      </c>
    </row>
    <row r="8" spans="1:9" x14ac:dyDescent="0.25">
      <c r="A8" s="937" t="str">
        <f t="shared" si="0"/>
        <v>AbstenciónModeradamente Efectivo</v>
      </c>
      <c r="B8" s="938" t="s">
        <v>544</v>
      </c>
      <c r="C8" s="941" t="s">
        <v>143</v>
      </c>
      <c r="D8" s="938" t="s">
        <v>544</v>
      </c>
      <c r="F8" s="940" t="str">
        <f t="shared" si="1"/>
        <v>AbstenciónAbstención</v>
      </c>
      <c r="G8" s="938" t="s">
        <v>544</v>
      </c>
      <c r="H8" s="938" t="s">
        <v>544</v>
      </c>
      <c r="I8" s="938" t="s">
        <v>1709</v>
      </c>
    </row>
    <row r="9" spans="1:9" x14ac:dyDescent="0.25">
      <c r="A9" s="937" t="str">
        <f t="shared" si="0"/>
        <v>AbstenciónInefectivo</v>
      </c>
      <c r="B9" s="938" t="s">
        <v>544</v>
      </c>
      <c r="C9" s="938" t="s">
        <v>131</v>
      </c>
      <c r="D9" s="938" t="s">
        <v>544</v>
      </c>
      <c r="F9" s="940" t="str">
        <f t="shared" si="1"/>
        <v>AbstenciónCon Salvedades</v>
      </c>
      <c r="G9" s="938" t="s">
        <v>544</v>
      </c>
      <c r="H9" s="941" t="s">
        <v>534</v>
      </c>
      <c r="I9" s="938" t="s">
        <v>1709</v>
      </c>
    </row>
    <row r="10" spans="1:9" x14ac:dyDescent="0.25">
      <c r="A10" s="937" t="str">
        <f t="shared" si="0"/>
        <v>AbstenciónNO APLICA</v>
      </c>
      <c r="B10" s="938" t="s">
        <v>544</v>
      </c>
      <c r="C10" s="942" t="s">
        <v>460</v>
      </c>
      <c r="D10" s="938" t="s">
        <v>544</v>
      </c>
      <c r="F10" s="940" t="str">
        <f t="shared" si="1"/>
        <v>AbstenciónLimpia o Sin Salvedades</v>
      </c>
      <c r="G10" s="938" t="s">
        <v>544</v>
      </c>
      <c r="H10" s="939" t="s">
        <v>529</v>
      </c>
      <c r="I10" s="938" t="s">
        <v>1709</v>
      </c>
    </row>
    <row r="11" spans="1:9" x14ac:dyDescent="0.25">
      <c r="A11" s="937" t="str">
        <f t="shared" si="0"/>
        <v>Con SalvedadesEfectivo</v>
      </c>
      <c r="B11" s="941" t="s">
        <v>534</v>
      </c>
      <c r="C11" s="939" t="s">
        <v>146</v>
      </c>
      <c r="D11" s="941" t="s">
        <v>534</v>
      </c>
      <c r="F11" s="940" t="str">
        <f t="shared" si="1"/>
        <v>Con SalvedadesNegativa</v>
      </c>
      <c r="G11" s="941" t="s">
        <v>534</v>
      </c>
      <c r="H11" s="938" t="s">
        <v>538</v>
      </c>
      <c r="I11" s="938" t="s">
        <v>1709</v>
      </c>
    </row>
    <row r="12" spans="1:9" x14ac:dyDescent="0.25">
      <c r="A12" s="937" t="str">
        <f t="shared" si="0"/>
        <v>Con SalvedadesModeradamente Efectivo</v>
      </c>
      <c r="B12" s="941" t="s">
        <v>534</v>
      </c>
      <c r="C12" s="941" t="s">
        <v>143</v>
      </c>
      <c r="D12" s="941" t="s">
        <v>534</v>
      </c>
      <c r="F12" s="940" t="str">
        <f t="shared" si="1"/>
        <v>Con SalvedadesAbstención</v>
      </c>
      <c r="G12" s="941" t="s">
        <v>534</v>
      </c>
      <c r="H12" s="938" t="s">
        <v>544</v>
      </c>
      <c r="I12" s="938" t="s">
        <v>1709</v>
      </c>
    </row>
    <row r="13" spans="1:9" x14ac:dyDescent="0.25">
      <c r="A13" s="937" t="str">
        <f t="shared" si="0"/>
        <v>Con SalvedadesInefectivo</v>
      </c>
      <c r="B13" s="941" t="s">
        <v>534</v>
      </c>
      <c r="C13" s="938" t="s">
        <v>131</v>
      </c>
      <c r="D13" s="938" t="s">
        <v>1710</v>
      </c>
      <c r="F13" s="940" t="str">
        <f t="shared" si="1"/>
        <v>Con SalvedadesCon Salvedades</v>
      </c>
      <c r="G13" s="941" t="s">
        <v>534</v>
      </c>
      <c r="H13" s="941" t="s">
        <v>534</v>
      </c>
      <c r="I13" s="943" t="s">
        <v>1711</v>
      </c>
    </row>
    <row r="14" spans="1:9" x14ac:dyDescent="0.25">
      <c r="A14" s="937" t="str">
        <f t="shared" si="0"/>
        <v>Con SalvedadesNO APLICA</v>
      </c>
      <c r="B14" s="941" t="s">
        <v>534</v>
      </c>
      <c r="C14" s="942" t="s">
        <v>460</v>
      </c>
      <c r="D14" s="941" t="s">
        <v>534</v>
      </c>
      <c r="F14" s="940" t="str">
        <f t="shared" si="1"/>
        <v>Con SalvedadesLimpia o Sin Salvedades</v>
      </c>
      <c r="G14" s="941" t="s">
        <v>534</v>
      </c>
      <c r="H14" s="939" t="s">
        <v>529</v>
      </c>
      <c r="I14" s="943" t="s">
        <v>1711</v>
      </c>
    </row>
    <row r="15" spans="1:9" x14ac:dyDescent="0.25">
      <c r="A15" s="937" t="str">
        <f t="shared" si="0"/>
        <v>Limpio o Sin SalvedadesEfectivo</v>
      </c>
      <c r="B15" s="939" t="s">
        <v>1712</v>
      </c>
      <c r="C15" s="939" t="s">
        <v>146</v>
      </c>
      <c r="D15" s="939" t="s">
        <v>883</v>
      </c>
      <c r="F15" s="940" t="str">
        <f t="shared" si="1"/>
        <v>RazonableNegativa</v>
      </c>
      <c r="G15" s="939" t="s">
        <v>883</v>
      </c>
      <c r="H15" s="938" t="s">
        <v>538</v>
      </c>
      <c r="I15" s="938" t="s">
        <v>1709</v>
      </c>
    </row>
    <row r="16" spans="1:9" x14ac:dyDescent="0.25">
      <c r="A16" s="937" t="str">
        <f t="shared" si="0"/>
        <v>Limpio o Sin SalvedadesModeradamente Efectivo</v>
      </c>
      <c r="B16" s="939" t="s">
        <v>1712</v>
      </c>
      <c r="C16" s="941" t="s">
        <v>143</v>
      </c>
      <c r="D16" s="939" t="s">
        <v>883</v>
      </c>
      <c r="F16" s="940" t="str">
        <f t="shared" si="1"/>
        <v>RazonableAbstención</v>
      </c>
      <c r="G16" s="939" t="s">
        <v>883</v>
      </c>
      <c r="H16" s="938" t="s">
        <v>544</v>
      </c>
      <c r="I16" s="938" t="s">
        <v>1709</v>
      </c>
    </row>
    <row r="17" spans="1:9" x14ac:dyDescent="0.25">
      <c r="A17" s="937" t="str">
        <f t="shared" si="0"/>
        <v>Limpio o Sin SalvedadesInefectivo</v>
      </c>
      <c r="B17" s="939" t="s">
        <v>1712</v>
      </c>
      <c r="C17" s="938" t="s">
        <v>131</v>
      </c>
      <c r="D17" s="938" t="s">
        <v>1708</v>
      </c>
      <c r="F17" s="940" t="str">
        <f t="shared" si="1"/>
        <v>RazonableCon Salvedades</v>
      </c>
      <c r="G17" s="939" t="s">
        <v>883</v>
      </c>
      <c r="H17" s="941" t="s">
        <v>534</v>
      </c>
      <c r="I17" s="943" t="s">
        <v>1711</v>
      </c>
    </row>
    <row r="18" spans="1:9" ht="15" customHeight="1" x14ac:dyDescent="0.25">
      <c r="A18" s="937" t="str">
        <f t="shared" si="0"/>
        <v>Limpio o Sin SalvedadesNO APLICA</v>
      </c>
      <c r="B18" s="939" t="s">
        <v>1712</v>
      </c>
      <c r="C18" s="942" t="s">
        <v>460</v>
      </c>
      <c r="D18" s="939" t="s">
        <v>883</v>
      </c>
      <c r="F18" s="940" t="str">
        <f t="shared" si="1"/>
        <v>RazonableLimpia o Sin Salvedades</v>
      </c>
      <c r="G18" s="939" t="s">
        <v>883</v>
      </c>
      <c r="H18" s="939" t="s">
        <v>529</v>
      </c>
      <c r="I18" s="943" t="s">
        <v>1711</v>
      </c>
    </row>
    <row r="25" spans="1:9" ht="30" x14ac:dyDescent="0.25">
      <c r="A25" s="934" t="s">
        <v>1702</v>
      </c>
      <c r="B25" s="935" t="s">
        <v>1713</v>
      </c>
      <c r="C25" s="935" t="s">
        <v>1714</v>
      </c>
      <c r="D25" s="935" t="s">
        <v>1706</v>
      </c>
    </row>
    <row r="26" spans="1:9" x14ac:dyDescent="0.25">
      <c r="A26" s="937" t="str">
        <f t="shared" ref="A26:A37" si="2">+CONCATENATE(B26,C26)</f>
        <v>NegativaEfectivo</v>
      </c>
      <c r="B26" s="938" t="s">
        <v>538</v>
      </c>
      <c r="C26" s="939" t="s">
        <v>146</v>
      </c>
      <c r="D26" s="938" t="s">
        <v>538</v>
      </c>
    </row>
    <row r="27" spans="1:9" x14ac:dyDescent="0.25">
      <c r="A27" s="937" t="str">
        <f t="shared" si="2"/>
        <v>NegativaInefectivo</v>
      </c>
      <c r="B27" s="938" t="s">
        <v>538</v>
      </c>
      <c r="C27" s="938" t="s">
        <v>131</v>
      </c>
      <c r="D27" s="938" t="s">
        <v>538</v>
      </c>
    </row>
    <row r="28" spans="1:9" x14ac:dyDescent="0.25">
      <c r="A28" s="937" t="str">
        <f t="shared" si="2"/>
        <v>NegativaNO APLICA</v>
      </c>
      <c r="B28" s="938" t="s">
        <v>538</v>
      </c>
      <c r="C28" s="941" t="s">
        <v>460</v>
      </c>
      <c r="D28" s="938" t="s">
        <v>538</v>
      </c>
    </row>
    <row r="29" spans="1:9" x14ac:dyDescent="0.25">
      <c r="A29" s="937" t="str">
        <f t="shared" si="2"/>
        <v>AbstenciónEfectivo</v>
      </c>
      <c r="B29" s="938" t="s">
        <v>544</v>
      </c>
      <c r="C29" s="939" t="s">
        <v>146</v>
      </c>
      <c r="D29" s="938" t="s">
        <v>544</v>
      </c>
    </row>
    <row r="30" spans="1:9" x14ac:dyDescent="0.25">
      <c r="A30" s="937" t="str">
        <f t="shared" si="2"/>
        <v>AbstenciónInefectivo</v>
      </c>
      <c r="B30" s="938" t="s">
        <v>544</v>
      </c>
      <c r="C30" s="938" t="s">
        <v>131</v>
      </c>
      <c r="D30" s="938" t="s">
        <v>544</v>
      </c>
    </row>
    <row r="31" spans="1:9" x14ac:dyDescent="0.25">
      <c r="A31" s="937" t="str">
        <f t="shared" si="2"/>
        <v>AbstenciónNO APLICA</v>
      </c>
      <c r="B31" s="938" t="s">
        <v>544</v>
      </c>
      <c r="C31" s="941" t="s">
        <v>460</v>
      </c>
      <c r="D31" s="938" t="s">
        <v>544</v>
      </c>
    </row>
    <row r="32" spans="1:9" x14ac:dyDescent="0.25">
      <c r="A32" s="937" t="str">
        <f t="shared" si="2"/>
        <v>Limpia o Sin SalvedadesEfectivo</v>
      </c>
      <c r="B32" s="939" t="s">
        <v>529</v>
      </c>
      <c r="C32" s="939" t="s">
        <v>146</v>
      </c>
      <c r="D32" s="939" t="s">
        <v>529</v>
      </c>
    </row>
    <row r="33" spans="1:4" x14ac:dyDescent="0.25">
      <c r="A33" s="937" t="str">
        <f t="shared" si="2"/>
        <v>Limpia o Sin SalvedadesInefectivo</v>
      </c>
      <c r="B33" s="939" t="s">
        <v>529</v>
      </c>
      <c r="C33" s="938" t="s">
        <v>131</v>
      </c>
      <c r="D33" s="939" t="s">
        <v>529</v>
      </c>
    </row>
    <row r="34" spans="1:4" x14ac:dyDescent="0.25">
      <c r="A34" s="937" t="str">
        <f t="shared" si="2"/>
        <v>Limpia o Sin SalvedadesNO APLICA</v>
      </c>
      <c r="B34" s="939" t="s">
        <v>529</v>
      </c>
      <c r="C34" s="941" t="s">
        <v>460</v>
      </c>
      <c r="D34" s="939" t="s">
        <v>529</v>
      </c>
    </row>
    <row r="35" spans="1:4" x14ac:dyDescent="0.25">
      <c r="A35" s="937" t="str">
        <f t="shared" si="2"/>
        <v>Con SalvedadesEfectivo</v>
      </c>
      <c r="B35" s="941" t="s">
        <v>534</v>
      </c>
      <c r="C35" s="939" t="s">
        <v>146</v>
      </c>
      <c r="D35" s="941" t="s">
        <v>534</v>
      </c>
    </row>
    <row r="36" spans="1:4" x14ac:dyDescent="0.25">
      <c r="A36" s="937" t="str">
        <f t="shared" si="2"/>
        <v>Con SalvedadesInefectivo</v>
      </c>
      <c r="B36" s="941" t="s">
        <v>534</v>
      </c>
      <c r="C36" s="938" t="s">
        <v>131</v>
      </c>
      <c r="D36" s="941" t="s">
        <v>534</v>
      </c>
    </row>
    <row r="37" spans="1:4" x14ac:dyDescent="0.25">
      <c r="A37" s="937" t="str">
        <f t="shared" si="2"/>
        <v>Con SalvedadesNO APLICA</v>
      </c>
      <c r="B37" s="941" t="s">
        <v>534</v>
      </c>
      <c r="C37" s="941" t="s">
        <v>460</v>
      </c>
      <c r="D37" s="941" t="s">
        <v>534</v>
      </c>
    </row>
  </sheetData>
  <conditionalFormatting sqref="B7:B10">
    <cfRule type="containsText" dxfId="10" priority="20" operator="containsText" text="Abstención">
      <formula>NOT(ISERROR(SEARCH("Abstención",B7)))</formula>
    </cfRule>
  </conditionalFormatting>
  <conditionalFormatting sqref="B29:B31">
    <cfRule type="containsText" dxfId="9" priority="14" operator="containsText" text="Abstención">
      <formula>NOT(ISERROR(SEARCH("Abstención",B29)))</formula>
    </cfRule>
  </conditionalFormatting>
  <conditionalFormatting sqref="D7:D10">
    <cfRule type="containsText" dxfId="8" priority="19" operator="containsText" text="Abstención">
      <formula>NOT(ISERROR(SEARCH("Abstención",D7)))</formula>
    </cfRule>
  </conditionalFormatting>
  <conditionalFormatting sqref="D29:D31">
    <cfRule type="containsText" dxfId="7" priority="12" operator="containsText" text="Abstención">
      <formula>NOT(ISERROR(SEARCH("Abstención",D29)))</formula>
    </cfRule>
  </conditionalFormatting>
  <conditionalFormatting sqref="G7:G10">
    <cfRule type="containsText" dxfId="6" priority="9" operator="containsText" text="Abstención">
      <formula>NOT(ISERROR(SEARCH("Abstención",G7)))</formula>
    </cfRule>
  </conditionalFormatting>
  <conditionalFormatting sqref="H4">
    <cfRule type="containsText" dxfId="5" priority="10" operator="containsText" text="Abstención">
      <formula>NOT(ISERROR(SEARCH("Abstención",H4)))</formula>
    </cfRule>
  </conditionalFormatting>
  <conditionalFormatting sqref="H8">
    <cfRule type="containsText" dxfId="4" priority="8" operator="containsText" text="Abstención">
      <formula>NOT(ISERROR(SEARCH("Abstención",H8)))</formula>
    </cfRule>
  </conditionalFormatting>
  <conditionalFormatting sqref="H12">
    <cfRule type="containsText" dxfId="3" priority="7" operator="containsText" text="Abstención">
      <formula>NOT(ISERROR(SEARCH("Abstención",H12)))</formula>
    </cfRule>
  </conditionalFormatting>
  <conditionalFormatting sqref="H16">
    <cfRule type="containsText" dxfId="2" priority="6" operator="containsText" text="Abstención">
      <formula>NOT(ISERROR(SEARCH("Abstención",H16)))</formula>
    </cfRule>
  </conditionalFormatting>
  <conditionalFormatting sqref="I3:I12">
    <cfRule type="containsText" dxfId="1" priority="1" operator="containsText" text="NO">
      <formula>NOT(ISERROR(SEARCH("NO",I3)))</formula>
    </cfRule>
  </conditionalFormatting>
  <conditionalFormatting sqref="I15:I16">
    <cfRule type="containsText" dxfId="0" priority="3" operator="containsText" text="NO">
      <formula>NOT(ISERROR(SEARCH("NO",I15)))</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18</vt:i4>
      </vt:variant>
      <vt:variant>
        <vt:lpstr>Rangos con nombre</vt:lpstr>
      </vt:variant>
      <vt:variant>
        <vt:i4>12</vt:i4>
      </vt:variant>
    </vt:vector>
  </HeadingPairs>
  <TitlesOfParts>
    <vt:vector size="30" baseType="lpstr">
      <vt:lpstr>LISTAS</vt:lpstr>
      <vt:lpstr>FENECIMIENTO CUENTA</vt:lpstr>
      <vt:lpstr>FENECIMIENTO</vt:lpstr>
      <vt:lpstr>ANALÍTICA ESTADO SITUACIÓN F</vt:lpstr>
      <vt:lpstr>ANALÍTICA ESTADO DE RESULTAD</vt:lpstr>
      <vt:lpstr>MATERIALIDAD FINANCIERA</vt:lpstr>
      <vt:lpstr>HALLAZGOS OPINIÓN_FIN</vt:lpstr>
      <vt:lpstr>DESEMPEÑO FINANCIERO</vt:lpstr>
      <vt:lpstr>ANALÍTICA PRESUPUESTAL</vt:lpstr>
      <vt:lpstr>MATERIALIDAD PRESUPUESTAL</vt:lpstr>
      <vt:lpstr>HALLAZGOS CONCEPTO_PRES</vt:lpstr>
      <vt:lpstr>LISTAS PPTO</vt:lpstr>
      <vt:lpstr>PLANES Y PROYECTOS</vt:lpstr>
      <vt:lpstr>PLAN ESTRATÉGICO</vt:lpstr>
      <vt:lpstr>ANALÍTICAS GASTO PÚBLICO</vt:lpstr>
      <vt:lpstr>MATERIALIDAD GASTO PÚBLICO</vt:lpstr>
      <vt:lpstr>CALIFICACIÓN GASTO PÚBLICO</vt:lpstr>
      <vt:lpstr>Lista consolidado macro</vt:lpstr>
      <vt:lpstr>_ECONOMIA_CONTRATACION</vt:lpstr>
      <vt:lpstr>_EFICACIA_CONTRATACION</vt:lpstr>
      <vt:lpstr>_EFICIENCIA_CONTRATACION</vt:lpstr>
      <vt:lpstr>Base</vt:lpstr>
      <vt:lpstr>'CALIFICACIÓN GASTO PÚBLICO'!HALLAZGOS</vt:lpstr>
      <vt:lpstr>Muestra_Min</vt:lpstr>
      <vt:lpstr>Parametro_Min</vt:lpstr>
      <vt:lpstr>ParaminAlta</vt:lpstr>
      <vt:lpstr>ParaminBaja</vt:lpstr>
      <vt:lpstr>ParaminMedia</vt:lpstr>
      <vt:lpstr>Riesgo</vt:lpstr>
      <vt:lpstr>ValorUniverso</vt:lpstr>
    </vt:vector>
  </TitlesOfParts>
  <Manager/>
  <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administrador</dc:creator>
  <cp:keywords/>
  <dc:description/>
  <cp:lastModifiedBy>contrabog</cp:lastModifiedBy>
  <cp:revision/>
  <dcterms:created xsi:type="dcterms:W3CDTF">2020-11-17T20:47:08Z</dcterms:created>
  <dcterms:modified xsi:type="dcterms:W3CDTF">2024-12-09T16:02:59Z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98db72c4-b3f2-4c33-a4c4-bd4204b5bb3e</vt:lpwstr>
  </property>
</Properties>
</file>